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limatlar" sheetId="1" state="visible" r:id="rId3"/>
    <sheet name="Ortak Derslik Listesi" sheetId="2" state="visible" r:id="rId4"/>
    <sheet name="Fakülte Öğretim Elemanları" sheetId="3" state="visible" r:id="rId5"/>
    <sheet name="1-Turizm Rehberliği" sheetId="4" state="visible" r:id="rId6"/>
    <sheet name="2-Gastronomi" sheetId="5" state="visible" r:id="rId7"/>
    <sheet name="3-Turizm İşletmeciliği" sheetId="6" state="visible" r:id="rId8"/>
    <sheet name="4-Konsolide Çakışma Kontrolü" sheetId="7" state="visible" r:id="rId9"/>
  </sheets>
  <definedNames>
    <definedName function="false" hidden="false" localSheetId="3" name="_xlnm.Print_Area" vbProcedure="false">'1-Turizm Rehberliği'!$A$1:$I$203</definedName>
    <definedName function="false" hidden="false" localSheetId="3" name="_xlnm.Print_Titles" vbProcedure="false">'1-Turizm Rehberliği'!$1:$3</definedName>
    <definedName function="false" hidden="false" localSheetId="4" name="_xlnm.Print_Area" vbProcedure="false">'2-Gastronomi'!$A$1:$I$203</definedName>
    <definedName function="false" hidden="false" localSheetId="4" name="_xlnm.Print_Titles" vbProcedure="false">'2-Gastronomi'!$1:$3</definedName>
    <definedName function="false" hidden="false" localSheetId="5" name="_xlnm.Print_Area" vbProcedure="false">'3-Turizm İşletmeciliği'!$A$1:$I$203</definedName>
    <definedName function="false" hidden="false" localSheetId="5" name="_xlnm.Print_Titles" vbProcedure="false">'3-Turizm İşletmeciliği'!$1:$3</definedName>
    <definedName function="false" hidden="false" localSheetId="6" name="_xlnm.Print_Area" vbProcedure="false">'4-Konsolide Çakışma Kontrolü'!$A$1:$R$606</definedName>
    <definedName function="false" hidden="false" localSheetId="6" name="_xlnm.Print_Titles" vbProcedure="false">'4-Konsolide Çakışma Kontrolü'!$1:$6</definedName>
    <definedName function="false" hidden="true" localSheetId="6" name="_xlnm._FilterDatabase" vbProcedure="false">'4-Konsolide Çakışma Kontrolü'!$A$6:$R$606</definedName>
    <definedName function="false" hidden="false" localSheetId="2" name="_xlnm.Print_Area" vbProcedure="false">'Fakülte Öğretim Elemanları'!$A$1:$E$78</definedName>
    <definedName function="false" hidden="false" localSheetId="2" name="_xlnm.Print_Titles" vbProcedure="false">'Fakülte Öğretim Elemanları'!$1:$3</definedName>
    <definedName function="false" hidden="false" localSheetId="1" name="_xlnm.Print_Area" vbProcedure="false">'Ortak Derslik Listesi'!$A$1:$C$23</definedName>
    <definedName function="false" hidden="false" localSheetId="1" name="_xlnm.Print_Titles" vbProcedure="false">'Ortak Derslik Listesi'!$1:$3</definedName>
    <definedName function="false" hidden="false" localSheetId="0" name="_xlnm.Print_Area" vbProcedure="false">Talimatlar!$A$1:$C$23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<sst xmlns="http://schemas.openxmlformats.org/spreadsheetml/2006/main" count="165" uniqueCount="113">
  <si>
    <t xml:space="preserve">FAKÜLTE DERS PROGRAMI KONSOLİDASYONU</t>
  </si>
  <si>
    <t xml:space="preserve">Turizm Fakültesi — 3 Bölüm Ortak Derslik / Öğretim Elemanı Çakışma Kontrolü</t>
  </si>
  <si>
    <t xml:space="preserve">Bu Dosya Ne İşe Yarar?</t>
  </si>
  <si>
    <t xml:space="preserve">Her bölümün kendi “Ders Programı Hazırlama Motoru” dosyası vardır ve dersliklerini/gün-saatlerini kendi içinde çakışmasız hâle getirir. Ama derslikler ve bazı öğretim elemanları 3 bölüm arasında ORTAK olduğu için, bölümler birbirinden habersiz aynı dersliği ya da aynı hocayı aynı saate atayabilir. Bu dosya, 3 bölümün kesinleşmiş programlarını bir araya getirip yalnızca bu türden “bölümler arası” çakışmaları otomatik yakalar.</t>
  </si>
  <si>
    <t xml:space="preserve">1 — Ortak Derslik Listesi</t>
  </si>
  <si>
    <t xml:space="preserve">Sayfa: Ortak Derslik Listesi</t>
  </si>
  <si>
    <t xml:space="preserve">Fakültedeki gerçek derslik adlarını buraya girin (şu an 20 örnek satır var, “Derslik 1” gibi genel adları gerçek oda adlarınızla — ör. “A-101” — değiştirin). Her 3 bölümün kendi motorundaki derslik açılır listesi de BUNLARLA birebir aynı adları kullanmalıdır; aksi hâlde çakışma kontrolü aynı odayı farklı iki oda sanır.</t>
  </si>
  <si>
    <t xml:space="preserve">2 — Fakülte Öğretim Elemanları</t>
  </si>
  <si>
    <t xml:space="preserve">Sayfa: Fakülte Öğretim Elemanları</t>
  </si>
  <si>
    <t xml:space="preserve">Turizm Rehberliği kadrosu hazır girilmiştir. Diğer bölümlerin kadrolarını da buraya ekleyin; birden fazla bölümde ders veren hocaları not sütununda işaretleyin. Her bölümün kendi motorunda aynı ismi harfiyen aynı yazması gerekir (“Prof. Dr. …” gibi unvan dâhil) — yoksa aynı kişi iki farklı kişi sanılıp çakışma kaçırılabilir.</t>
  </si>
  <si>
    <t xml:space="preserve">3 — Bölüm Sayfaları (biri her bölüm için)</t>
  </si>
  <si>
    <t xml:space="preserve">Sayfa: 1-Turizm Rehberliği / 2-Gastronomi / 3-Turizm İşletmeciliği</t>
  </si>
  <si>
    <t xml:space="preserve">Her bölüm, kendi motorundaki “4-Gün-Saat-Derslik Atama” sayfasından yalnızca “Seçildi” durumundaki ve gün/saati dolu satırları — Ders Kodu, Ders Adı, Sınıf, Yarıyıl, Öğretim Elemanı, Gün, Başlangıç Saati, Süre, Derslik sütunlarını — kopyalayıp kendi sayfasındaki sarı alana “değer olarak” (Paste Special → Values) yapıştırır. Bölüm birden fazla oturuma bölünmüş bir dersi varsa her oturum ayrı bir satır olarak yapıştırılır.</t>
  </si>
  <si>
    <t xml:space="preserve">4 — Konsolide Çakışma Kontrolü</t>
  </si>
  <si>
    <t xml:space="preserve">Sayfa: 4-Konsolide Çakışma Kontrolü</t>
  </si>
  <si>
    <t xml:space="preserve">Hiçbir şey yazmanıza gerek yoktur; 3 bölüm sayfasından otomatik oluşur. Derslik ve öğretim elemanı çakışmaları TÜM bölümler arasında; sınıf çakışması ise yalnızca AYNI bölümün AYNI sınıfı içinde kontrol edilir (Turizm Rehberliği 1. sınıf ile Gastronomi 1. sınıfı farklı öğrenci gruplarıdır, çakışma sayılmaz). Üstteki panel toplam çakışma sayısını gösterir.</t>
  </si>
  <si>
    <t xml:space="preserve">Not: Bu dosya, her bölümün KENDİ İÇİNDEKİ çakışmalarını değil (onu zaten kendi motoru kontrol ediyor), yalnızca bölümler arası ortak kaynak (derslik, ortak öğretim elemanı) çakışmalarını kontrol eder. Bir bölüm kendi programını değiştirdikçe ilgili sayfayı güncel tutmanız (yeniden yapıştırmanız) gerekir — otomatik senkronizasyon yoktur.</t>
  </si>
  <si>
    <t xml:space="preserve">ORTAK DERSLİK LİSTESİ</t>
  </si>
  <si>
    <t xml:space="preserve">Fakültedeki tüm dersliklerin gerçek adlarını buraya girin. 3 bölümün kendi motorundaki derslik açılır listesi de bu adlarla BİREBİR aynı olmalıdır.</t>
  </si>
  <si>
    <t xml:space="preserve">No</t>
  </si>
  <si>
    <t xml:space="preserve">Derslik Adı</t>
  </si>
  <si>
    <t xml:space="preserve">Not (kapasite, bina vb. — isteğe bağlı)</t>
  </si>
  <si>
    <t xml:space="preserve">Derslik 1</t>
  </si>
  <si>
    <t xml:space="preserve">Derslik 2</t>
  </si>
  <si>
    <t xml:space="preserve">Derslik 3</t>
  </si>
  <si>
    <t xml:space="preserve">Derslik 4</t>
  </si>
  <si>
    <t xml:space="preserve">Derslik 5</t>
  </si>
  <si>
    <t xml:space="preserve">Derslik 6</t>
  </si>
  <si>
    <t xml:space="preserve">Derslik 7</t>
  </si>
  <si>
    <t xml:space="preserve">Derslik 8</t>
  </si>
  <si>
    <t xml:space="preserve">Derslik 9</t>
  </si>
  <si>
    <t xml:space="preserve">Derslik 10</t>
  </si>
  <si>
    <t xml:space="preserve">Derslik 11</t>
  </si>
  <si>
    <t xml:space="preserve">Derslik 12</t>
  </si>
  <si>
    <t xml:space="preserve">Derslik 13</t>
  </si>
  <si>
    <t xml:space="preserve">Derslik 14</t>
  </si>
  <si>
    <t xml:space="preserve">Derslik 15</t>
  </si>
  <si>
    <t xml:space="preserve">Derslik 16</t>
  </si>
  <si>
    <t xml:space="preserve">Derslik 17</t>
  </si>
  <si>
    <t xml:space="preserve">Derslik 18</t>
  </si>
  <si>
    <t xml:space="preserve">Derslik 19</t>
  </si>
  <si>
    <t xml:space="preserve">Derslik 20</t>
  </si>
  <si>
    <t xml:space="preserve">FAKÜLTE ÖĞRETİM ELEMANLARI</t>
  </si>
  <si>
    <t xml:space="preserve">Turizm Rehberliği kadrosu hazır girilmiştir. Diğer bölümlerin kadrolarını ekleyin. “Bölüm(ler)” sütununa hangi bölüm(ler)de ders verdiğini yazın (“Turizm Rehberliği, Gastronomi” gibi) — birden fazla bölümde ders veren hocaları burada işaretlemek, onların çakışmalarının doğru yakalanması için önemlidir.</t>
  </si>
  <si>
    <t xml:space="preserve">Unvan</t>
  </si>
  <si>
    <t xml:space="preserve">Ad Soyad</t>
  </si>
  <si>
    <t xml:space="preserve">Öğretim Elemanı (Tam Ad)</t>
  </si>
  <si>
    <t xml:space="preserve">Bölüm(ler)</t>
  </si>
  <si>
    <t xml:space="preserve">Not</t>
  </si>
  <si>
    <t xml:space="preserve">Prof. Dr.</t>
  </si>
  <si>
    <t xml:space="preserve">Aysu Altaş</t>
  </si>
  <si>
    <t xml:space="preserve">Prof. Dr. Aysu Altaş</t>
  </si>
  <si>
    <t xml:space="preserve">Turizm Rehberliği</t>
  </si>
  <si>
    <t xml:space="preserve">Mehmet Tuncer</t>
  </si>
  <si>
    <t xml:space="preserve">Prof. Dr. Mehmet Tuncer</t>
  </si>
  <si>
    <t xml:space="preserve">Doç. Dr.</t>
  </si>
  <si>
    <t xml:space="preserve">Alaattin Başoda</t>
  </si>
  <si>
    <t xml:space="preserve">Doç. Dr. Alaattin Başoda</t>
  </si>
  <si>
    <t xml:space="preserve">Yusuf Acar</t>
  </si>
  <si>
    <t xml:space="preserve">Doç. Dr. Yusuf Acar</t>
  </si>
  <si>
    <t xml:space="preserve">Neşe Çullu Kaygısız</t>
  </si>
  <si>
    <t xml:space="preserve">Doç. Dr. Neşe Çullu Kaygısız</t>
  </si>
  <si>
    <t xml:space="preserve">Dr. Öğr. Üyesi</t>
  </si>
  <si>
    <t xml:space="preserve">Grant Altay Taşkın</t>
  </si>
  <si>
    <t xml:space="preserve">Dr. Öğr. Üyesi Grant Altay Taşkın</t>
  </si>
  <si>
    <t xml:space="preserve">Çağla Üst Can</t>
  </si>
  <si>
    <t xml:space="preserve">Dr. Öğr. Üyesi Çağla Üst Can</t>
  </si>
  <si>
    <t xml:space="preserve">Burak Murat Demirçivi</t>
  </si>
  <si>
    <t xml:space="preserve">Dr. Öğr. Üyesi Burak Murat Demirçivi</t>
  </si>
  <si>
    <t xml:space="preserve">Mesut Murat Adabalı</t>
  </si>
  <si>
    <t xml:space="preserve">Dr. Öğr. Üyesi Mesut Murat Adabalı</t>
  </si>
  <si>
    <t xml:space="preserve">Serap Serin Karacaer</t>
  </si>
  <si>
    <t xml:space="preserve">Dr. Öğr. Üyesi Serap Serin Karacaer</t>
  </si>
  <si>
    <t xml:space="preserve">Selim Karagöz</t>
  </si>
  <si>
    <t xml:space="preserve">Dr. Öğr. Üyesi Selim Karagöz</t>
  </si>
  <si>
    <t xml:space="preserve">Ergin Altunsabak</t>
  </si>
  <si>
    <t xml:space="preserve">Dr. Öğr. Üyesi Ergin Altunsabak</t>
  </si>
  <si>
    <t xml:space="preserve">Öğr. Gör.</t>
  </si>
  <si>
    <t xml:space="preserve">Vildan Acar</t>
  </si>
  <si>
    <t xml:space="preserve">Öğr. Gör. Vildan Acar</t>
  </si>
  <si>
    <t xml:space="preserve">Vahit Bölükbaş</t>
  </si>
  <si>
    <t xml:space="preserve">Öğr. Gör. Vahit Bölükbaş</t>
  </si>
  <si>
    <t xml:space="preserve">DİĞER BÖLÜMLERİN KADROLARI — aşağıya ekleyiniz</t>
  </si>
  <si>
    <t xml:space="preserve">TURİZM REHBERLİĞİ — KESİNLEŞMİŞ PROGRAM</t>
  </si>
  <si>
    <t xml:space="preserve">Kendi motorunuzdaki “4-Gün-Saat-Derslik Atama” sayfasından yalnızca Seçildi ve gün/saati dolu satırları, bu sütun sırasıyla (Ders Kodu…Derslik) buraya değer olarak yapıştırın (Paste Special → Values). Bölünmüş bir dersin her oturumu ayrı satırdır.</t>
  </si>
  <si>
    <t xml:space="preserve">Ders Kodu</t>
  </si>
  <si>
    <t xml:space="preserve">Dersin Adı</t>
  </si>
  <si>
    <t xml:space="preserve">Sınıf</t>
  </si>
  <si>
    <t xml:space="preserve">Yarıyıl</t>
  </si>
  <si>
    <t xml:space="preserve">Öğretim Elemanı</t>
  </si>
  <si>
    <t xml:space="preserve">Gün</t>
  </si>
  <si>
    <t xml:space="preserve">Başlangıç
Saati</t>
  </si>
  <si>
    <t xml:space="preserve">Süre
(Saat)</t>
  </si>
  <si>
    <t xml:space="preserve">Derslik</t>
  </si>
  <si>
    <t xml:space="preserve">GASTRONOMİ VE MUTFAK SANATLARI — KESİNLEŞMİŞ PROGRAM</t>
  </si>
  <si>
    <t xml:space="preserve">TURİZM İŞLETMECİLİĞİ — KESİNLEŞMİŞ PROGRAM</t>
  </si>
  <si>
    <t xml:space="preserve">4 — KONSOLİDE ÇAKIŞMA KONTROLÜ</t>
  </si>
  <si>
    <t xml:space="preserve">3 bölüm sayfasından otomatik oluşur; hiçbir şey yazmanıza gerek yoktur. Derslik ve öğretim elemanı çakışmaları TÜM bölümler arasında kontrol edilir; sınıf çakışması yalnızca aynı bölümün aynı sınıfı içinde kontrol edilir.</t>
  </si>
  <si>
    <t xml:space="preserve">KONTROL PANELİ</t>
  </si>
  <si>
    <t xml:space="preserve">Toplam Kayıt:</t>
  </si>
  <si>
    <t xml:space="preserve">Derslik Çakışması:</t>
  </si>
  <si>
    <t xml:space="preserve">Öğretim Elemanı Çakışması:</t>
  </si>
  <si>
    <t xml:space="preserve">Sınıf Çakışması:</t>
  </si>
  <si>
    <t xml:space="preserve">Saat Taşması:</t>
  </si>
  <si>
    <t xml:space="preserve">Bölüm</t>
  </si>
  <si>
    <t xml:space="preserve">Bölüm + Sınıf</t>
  </si>
  <si>
    <t xml:space="preserve">Başl.
Slot</t>
  </si>
  <si>
    <t xml:space="preserve">Bitiş
Slot</t>
  </si>
  <si>
    <t xml:space="preserve">Saat
Taşması</t>
  </si>
  <si>
    <t xml:space="preserve">Öğr.Elemanı
Çakışması</t>
  </si>
  <si>
    <t xml:space="preserve">Derslik
Çakışması</t>
  </si>
  <si>
    <t xml:space="preserve">Sınıf
Çakışması</t>
  </si>
  <si>
    <t xml:space="preserve">Genel
Durum</t>
  </si>
</sst>
</file>

<file path=xl/styles.xml><?xml version="1.0" encoding="utf-8"?>
<styleSheet xmlns="http://schemas.openxmlformats.org/spreadsheetml/2006/main">
  <numFmts count="2">
    <numFmt numFmtId="164" formatCode="General"/>
    <numFmt numFmtId="165" formatCode="General"/>
  </numFmts>
  <fonts count="22">
    <font>
      <sz val="11"/>
      <color theme="1"/>
      <name val="Calibri"/>
      <family val="2"/>
      <charset val="1"/>
    </font>
    <font>
      <sz val="10"/>
      <name val="Arial"/>
      <family val="0"/>
    </font>
    <font>
      <sz val="10"/>
      <name val="Arial"/>
      <family val="0"/>
    </font>
    <font>
      <sz val="10"/>
      <name val="Arial"/>
      <family val="0"/>
    </font>
    <font>
      <b val="true"/>
      <sz val="17"/>
      <color rgb="FFFFFFFF"/>
      <name val="Calibri"/>
      <family val="0"/>
      <charset val="1"/>
    </font>
    <font>
      <b val="true"/>
      <sz val="11.5"/>
      <color rgb="FFFFFFFF"/>
      <name val="Calibri"/>
      <family val="0"/>
      <charset val="1"/>
    </font>
    <font>
      <b val="true"/>
      <sz val="13"/>
      <color rgb="FF1F4E78"/>
      <name val="Calibri"/>
      <family val="0"/>
      <charset val="1"/>
    </font>
    <font>
      <sz val="10.5"/>
      <color rgb="FF1A1A1A"/>
      <name val="Calibri"/>
      <family val="0"/>
      <charset val="1"/>
    </font>
    <font>
      <b val="true"/>
      <sz val="11"/>
      <color rgb="FF1F4E78"/>
      <name val="Calibri"/>
      <family val="0"/>
      <charset val="1"/>
    </font>
    <font>
      <i val="true"/>
      <sz val="9"/>
      <color rgb="FF595959"/>
      <name val="Calibri"/>
      <family val="0"/>
      <charset val="1"/>
    </font>
    <font>
      <sz val="10"/>
      <color rgb="FF1A1A1A"/>
      <name val="Calibri"/>
      <family val="0"/>
      <charset val="1"/>
    </font>
    <font>
      <i val="true"/>
      <sz val="9.5"/>
      <color rgb="FF595959"/>
      <name val="Calibri"/>
      <family val="0"/>
      <charset val="1"/>
    </font>
    <font>
      <b val="true"/>
      <sz val="15"/>
      <color rgb="FFFFFFFF"/>
      <name val="Calibri"/>
      <family val="0"/>
      <charset val="1"/>
    </font>
    <font>
      <b val="true"/>
      <sz val="10"/>
      <color rgb="FFFFFFFF"/>
      <name val="Calibri"/>
      <family val="0"/>
      <charset val="1"/>
    </font>
    <font>
      <b val="true"/>
      <sz val="10"/>
      <color rgb="FF1A1A1A"/>
      <name val="Calibri"/>
      <family val="0"/>
      <charset val="1"/>
    </font>
    <font>
      <b val="true"/>
      <sz val="10.5"/>
      <color rgb="FFFFFFFF"/>
      <name val="Calibri"/>
      <family val="0"/>
      <charset val="1"/>
    </font>
    <font>
      <b val="true"/>
      <sz val="14"/>
      <color rgb="FFFFFFFF"/>
      <name val="Calibri"/>
      <family val="0"/>
      <charset val="1"/>
    </font>
    <font>
      <sz val="9.5"/>
      <color rgb="FF1A1A1A"/>
      <name val="Calibri"/>
      <family val="0"/>
      <charset val="1"/>
    </font>
    <font>
      <b val="true"/>
      <sz val="11"/>
      <color rgb="FFFFFFFF"/>
      <name val="Calibri"/>
      <family val="0"/>
      <charset val="1"/>
    </font>
    <font>
      <b val="true"/>
      <sz val="9.5"/>
      <color rgb="FF1A1A1A"/>
      <name val="Calibri"/>
      <family val="0"/>
      <charset val="1"/>
    </font>
    <font>
      <b val="true"/>
      <sz val="12"/>
      <color rgb="FF1A1A1A"/>
      <name val="Calibri"/>
      <family val="0"/>
      <charset val="1"/>
    </font>
    <font>
      <sz val="9"/>
      <color rgb="FF1A1A1A"/>
      <name val="Calibri"/>
      <family val="0"/>
      <charset val="1"/>
    </font>
  </fonts>
  <fills count="7">
    <fill>
      <patternFill patternType="none"/>
    </fill>
    <fill>
      <patternFill patternType="gray125"/>
    </fill>
    <fill>
      <patternFill patternType="solid">
        <fgColor rgb="FF1F4E78"/>
        <bgColor rgb="FF16324F"/>
      </patternFill>
    </fill>
    <fill>
      <patternFill patternType="solid">
        <fgColor rgb="FF16324F"/>
        <bgColor rgb="FF1A1A1A"/>
      </patternFill>
    </fill>
    <fill>
      <patternFill patternType="solid">
        <fgColor rgb="FFFFFFFF"/>
        <bgColor rgb="FFEEF3FA"/>
      </patternFill>
    </fill>
    <fill>
      <patternFill patternType="solid">
        <fgColor rgb="FFFFF2CC"/>
        <bgColor rgb="FFEEF3FA"/>
      </patternFill>
    </fill>
    <fill>
      <patternFill patternType="solid">
        <fgColor rgb="FFEEF3FA"/>
        <bgColor rgb="FFFFFFFF"/>
      </patternFill>
    </fill>
  </fills>
  <borders count="4">
    <border diagonalUp="false" diagonalDown="false">
      <left/>
      <right/>
      <top/>
      <bottom/>
      <diagonal/>
    </border>
    <border diagonalUp="false" diagonalDown="false">
      <left style="thin">
        <color rgb="FFB7C4D6"/>
      </left>
      <right style="thin">
        <color rgb="FFB7C4D6"/>
      </right>
      <top style="thin">
        <color rgb="FFB7C4D6"/>
      </top>
      <bottom style="thin">
        <color rgb="FFB7C4D6"/>
      </bottom>
      <diagonal/>
    </border>
    <border diagonalUp="false" diagonalDown="false">
      <left style="thin">
        <color rgb="FFBF9000"/>
      </left>
      <right style="thin">
        <color rgb="FFBF9000"/>
      </right>
      <top style="thin">
        <color rgb="FFBF9000"/>
      </top>
      <bottom style="thin">
        <color rgb="FFBF9000"/>
      </bottom>
      <diagonal/>
    </border>
    <border diagonalUp="false" diagonalDown="false">
      <left style="thin">
        <color rgb="FFB7C4D6"/>
      </left>
      <right style="thin">
        <color rgb="FFB7C4D6"/>
      </right>
      <top style="medium">
        <color rgb="FF1F4E78"/>
      </top>
      <bottom style="thin">
        <color rgb="FFB7C4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3"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12" fillId="2" borderId="0" xfId="0" applyFont="true" applyBorder="true" applyAlignment="true" applyProtection="false">
      <alignment horizontal="center" vertical="center" textRotation="0" wrapText="false" indent="0" shrinkToFit="false"/>
      <protection locked="true" hidden="false"/>
    </xf>
    <xf numFmtId="164" fontId="13" fillId="2"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4" fillId="5" borderId="2" xfId="0" applyFont="true" applyBorder="true" applyAlignment="true" applyProtection="false">
      <alignment horizontal="center" vertical="center" textRotation="0" wrapText="true" indent="0" shrinkToFit="false"/>
      <protection locked="true" hidden="false"/>
    </xf>
    <xf numFmtId="164" fontId="0" fillId="4" borderId="1" xfId="0" applyFont="false" applyBorder="true" applyAlignment="true" applyProtection="false">
      <alignment horizontal="left" vertical="center" textRotation="0" wrapText="tru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14" fillId="6" borderId="1" xfId="0" applyFont="true" applyBorder="true" applyAlignment="true" applyProtection="false">
      <alignment horizontal="left" vertical="center" textRotation="0" wrapText="true" indent="0" shrinkToFit="false"/>
      <protection locked="true" hidden="false"/>
    </xf>
    <xf numFmtId="164" fontId="0" fillId="6" borderId="1" xfId="0" applyFont="false" applyBorder="true" applyAlignment="true" applyProtection="false">
      <alignment horizontal="left" vertical="center" textRotation="0" wrapText="true" indent="0" shrinkToFit="false"/>
      <protection locked="true" hidden="false"/>
    </xf>
    <xf numFmtId="164" fontId="14" fillId="4" borderId="1" xfId="0" applyFont="true" applyBorder="true" applyAlignment="true" applyProtection="false">
      <alignment horizontal="left" vertical="center" textRotation="0" wrapText="true" indent="0" shrinkToFit="false"/>
      <protection locked="true" hidden="false"/>
    </xf>
    <xf numFmtId="164" fontId="15" fillId="3" borderId="0" xfId="0" applyFont="true" applyBorder="true" applyAlignment="true" applyProtection="false">
      <alignment horizontal="center" vertical="center" textRotation="0" wrapText="false" indent="0" shrinkToFit="false"/>
      <protection locked="true" hidden="false"/>
    </xf>
    <xf numFmtId="164" fontId="0" fillId="5" borderId="2" xfId="0" applyFont="false" applyBorder="true" applyAlignment="true" applyProtection="false">
      <alignment horizontal="center" vertical="center" textRotation="0" wrapText="true" indent="0" shrinkToFit="false"/>
      <protection locked="true" hidden="false"/>
    </xf>
    <xf numFmtId="164" fontId="0" fillId="5" borderId="2" xfId="0" applyFont="false" applyBorder="true" applyAlignment="true" applyProtection="false">
      <alignment horizontal="left" vertical="center" textRotation="0" wrapText="true" indent="0" shrinkToFit="false"/>
      <protection locked="true" hidden="false"/>
    </xf>
    <xf numFmtId="164" fontId="16" fillId="2" borderId="0"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17" fillId="5" borderId="2" xfId="0" applyFont="true" applyBorder="true" applyAlignment="true" applyProtection="false">
      <alignment horizontal="center" vertical="center" textRotation="0" wrapText="true" indent="0" shrinkToFit="false"/>
      <protection locked="true" hidden="false"/>
    </xf>
    <xf numFmtId="164" fontId="17" fillId="5" borderId="2" xfId="0" applyFont="true" applyBorder="true" applyAlignment="true" applyProtection="false">
      <alignment horizontal="left" vertical="center" textRotation="0" wrapText="true" indent="0" shrinkToFit="false"/>
      <protection locked="true" hidden="false"/>
    </xf>
    <xf numFmtId="164" fontId="18" fillId="3" borderId="0"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true" applyAlignment="true" applyProtection="false">
      <alignment horizontal="right" vertical="center" textRotation="0" wrapText="false" indent="0" shrinkToFit="false"/>
      <protection locked="true" hidden="false"/>
    </xf>
    <xf numFmtId="165" fontId="20" fillId="0" borderId="1" xfId="0" applyFont="true" applyBorder="true" applyAlignment="true" applyProtection="false">
      <alignment horizontal="center" vertical="center" textRotation="0" wrapText="true" indent="0" shrinkToFit="false"/>
      <protection locked="true" hidden="false"/>
    </xf>
    <xf numFmtId="164" fontId="21" fillId="6" borderId="1" xfId="0" applyFont="true" applyBorder="true" applyAlignment="true" applyProtection="false">
      <alignment horizontal="center" vertical="center" textRotation="0" wrapText="false" indent="0" shrinkToFit="false"/>
      <protection locked="true" hidden="false"/>
    </xf>
    <xf numFmtId="164" fontId="21" fillId="6" borderId="1" xfId="0" applyFont="true" applyBorder="true" applyAlignment="true" applyProtection="false">
      <alignment horizontal="left" vertical="center" textRotation="0" wrapText="false" indent="0" shrinkToFit="false"/>
      <protection locked="true" hidden="false"/>
    </xf>
    <xf numFmtId="164" fontId="21" fillId="4" borderId="3" xfId="0" applyFont="true" applyBorder="true" applyAlignment="true" applyProtection="false">
      <alignment horizontal="center" vertical="center" textRotation="0" wrapText="false" indent="0" shrinkToFit="false"/>
      <protection locked="true" hidden="false"/>
    </xf>
    <xf numFmtId="164" fontId="21" fillId="4" borderId="3" xfId="0" applyFont="true" applyBorder="true" applyAlignment="true" applyProtection="false">
      <alignment horizontal="left" vertical="center" textRotation="0" wrapText="false" indent="0" shrinkToFit="false"/>
      <protection locked="true" hidden="false"/>
    </xf>
    <xf numFmtId="164" fontId="21" fillId="4" borderId="1" xfId="0" applyFont="true" applyBorder="true" applyAlignment="true" applyProtection="false">
      <alignment horizontal="center" vertical="center" textRotation="0" wrapText="false" indent="0" shrinkToFit="false"/>
      <protection locked="true" hidden="false"/>
    </xf>
    <xf numFmtId="164" fontId="21" fillId="4" borderId="1" xfId="0" applyFont="true" applyBorder="true" applyAlignment="true" applyProtection="false">
      <alignment horizontal="left" vertical="center" textRotation="0" wrapText="false" indent="0" shrinkToFit="false"/>
      <protection locked="true" hidden="false"/>
    </xf>
    <xf numFmtId="164" fontId="21" fillId="6" borderId="3" xfId="0" applyFont="true" applyBorder="true" applyAlignment="true" applyProtection="false">
      <alignment horizontal="center" vertical="center" textRotation="0" wrapText="false" indent="0" shrinkToFit="false"/>
      <protection locked="true" hidden="false"/>
    </xf>
    <xf numFmtId="164" fontId="21" fillId="6" borderId="3"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F4E78"/>
          <bgColor rgb="FF000000"/>
        </patternFill>
      </fill>
    </dxf>
    <dxf>
      <fill>
        <patternFill patternType="solid">
          <fgColor rgb="FFEEF3FA"/>
          <bgColor rgb="FF000000"/>
        </patternFill>
      </fill>
    </dxf>
    <dxf>
      <fill>
        <patternFill patternType="solid">
          <fgColor rgb="FFFFFFFF"/>
          <bgColor rgb="FF000000"/>
        </patternFill>
      </fill>
    </dxf>
    <dxf>
      <fill>
        <patternFill patternType="solid">
          <fgColor rgb="FF1A1A1A"/>
          <bgColor rgb="FF000000"/>
        </patternFill>
      </fill>
    </dxf>
    <dxf>
      <fill>
        <patternFill>
          <bgColor rgb="FFC6EFCE"/>
        </patternFill>
      </fill>
    </dxf>
    <dxf>
      <fill>
        <patternFill>
          <bgColor rgb="FFFFC7CE"/>
        </patternFill>
      </fill>
    </dxf>
    <dxf>
      <font>
        <color rgb="FF9C0006"/>
      </font>
      <fill>
        <patternFill>
          <bgColor rgb="FFFFC7CE"/>
        </patternFill>
      </fill>
    </dxf>
    <dxf>
      <font>
        <color rgb="FF006100"/>
      </font>
      <fill>
        <patternFill>
          <bgColor rgb="FFC6EF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7C4D6"/>
      <rgbColor rgb="FF808080"/>
      <rgbColor rgb="FF9999FF"/>
      <rgbColor rgb="FF993366"/>
      <rgbColor rgb="FFFFF2CC"/>
      <rgbColor rgb="FFEEF3F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1"/>
      <rgbColor rgb="FFC6EFCE"/>
      <rgbColor rgb="FFFFFF99"/>
      <rgbColor rgb="FF99CCFF"/>
      <rgbColor rgb="FFFF99CC"/>
      <rgbColor rgb="FFCC99FF"/>
      <rgbColor rgb="FFFFC7CE"/>
      <rgbColor rgb="FF3366FF"/>
      <rgbColor rgb="FF33CCCC"/>
      <rgbColor rgb="FF99CC00"/>
      <rgbColor rgb="FFFFCC00"/>
      <rgbColor rgb="FFBF9000"/>
      <rgbColor rgb="FFFF6600"/>
      <rgbColor rgb="FF595959"/>
      <rgbColor rgb="FF969696"/>
      <rgbColor rgb="FF16324F"/>
      <rgbColor rgb="FF339966"/>
      <rgbColor rgb="FF003300"/>
      <rgbColor rgb="FF333300"/>
      <rgbColor rgb="FF993300"/>
      <rgbColor rgb="FF993366"/>
      <rgbColor rgb="FF1F4E78"/>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8"/>
    <pageSetUpPr fitToPage="true"/>
  </sheetPr>
  <dimension ref="A1:C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78"/>
  </cols>
  <sheetData>
    <row r="1" customFormat="false" ht="31.5" hidden="false" customHeight="true" outlineLevel="0" collapsed="false">
      <c r="A1" s="1" t="s">
        <v>0</v>
      </c>
      <c r="B1" s="1"/>
      <c r="C1" s="1"/>
    </row>
    <row r="2" customFormat="false" ht="21.75" hidden="false" customHeight="true" outlineLevel="0" collapsed="false">
      <c r="A2" s="2" t="s">
        <v>1</v>
      </c>
      <c r="B2" s="2"/>
      <c r="C2" s="2"/>
    </row>
    <row r="4" customFormat="false" ht="16.15" hidden="false" customHeight="false" outlineLevel="0" collapsed="false">
      <c r="B4" s="3" t="s">
        <v>2</v>
      </c>
      <c r="C4" s="3"/>
    </row>
    <row r="5" customFormat="false" ht="78" hidden="false" customHeight="true" outlineLevel="0" collapsed="false">
      <c r="B5" s="4" t="s">
        <v>3</v>
      </c>
      <c r="C5" s="4"/>
    </row>
    <row r="7" customFormat="false" ht="15" hidden="false" customHeight="false" outlineLevel="0" collapsed="false">
      <c r="B7" s="5" t="s">
        <v>4</v>
      </c>
      <c r="C7" s="5"/>
    </row>
    <row r="8" customFormat="false" ht="15" hidden="false" customHeight="false" outlineLevel="0" collapsed="false">
      <c r="B8" s="6" t="s">
        <v>5</v>
      </c>
      <c r="C8" s="6"/>
    </row>
    <row r="9" customFormat="false" ht="61.5" hidden="false" customHeight="true" outlineLevel="0" collapsed="false">
      <c r="B9" s="7" t="s">
        <v>6</v>
      </c>
      <c r="C9" s="7"/>
    </row>
    <row r="11" customFormat="false" ht="15" hidden="false" customHeight="false" outlineLevel="0" collapsed="false">
      <c r="B11" s="5" t="s">
        <v>7</v>
      </c>
      <c r="C11" s="5"/>
    </row>
    <row r="12" customFormat="false" ht="15" hidden="false" customHeight="false" outlineLevel="0" collapsed="false">
      <c r="B12" s="6" t="s">
        <v>8</v>
      </c>
      <c r="C12" s="6"/>
    </row>
    <row r="13" customFormat="false" ht="61.5" hidden="false" customHeight="true" outlineLevel="0" collapsed="false">
      <c r="B13" s="7" t="s">
        <v>9</v>
      </c>
      <c r="C13" s="7"/>
    </row>
    <row r="15" customFormat="false" ht="15" hidden="false" customHeight="false" outlineLevel="0" collapsed="false">
      <c r="B15" s="5" t="s">
        <v>10</v>
      </c>
      <c r="C15" s="5"/>
    </row>
    <row r="16" customFormat="false" ht="15" hidden="false" customHeight="false" outlineLevel="0" collapsed="false">
      <c r="B16" s="6" t="s">
        <v>11</v>
      </c>
      <c r="C16" s="6"/>
    </row>
    <row r="17" customFormat="false" ht="61.5" hidden="false" customHeight="true" outlineLevel="0" collapsed="false">
      <c r="B17" s="7" t="s">
        <v>12</v>
      </c>
      <c r="C17" s="7"/>
    </row>
    <row r="19" customFormat="false" ht="15" hidden="false" customHeight="false" outlineLevel="0" collapsed="false">
      <c r="B19" s="5" t="s">
        <v>13</v>
      </c>
      <c r="C19" s="5"/>
    </row>
    <row r="20" customFormat="false" ht="15" hidden="false" customHeight="false" outlineLevel="0" collapsed="false">
      <c r="B20" s="6" t="s">
        <v>14</v>
      </c>
      <c r="C20" s="6"/>
    </row>
    <row r="21" customFormat="false" ht="61.5" hidden="false" customHeight="true" outlineLevel="0" collapsed="false">
      <c r="B21" s="7" t="s">
        <v>15</v>
      </c>
      <c r="C21" s="7"/>
    </row>
    <row r="23" customFormat="false" ht="55.5" hidden="false" customHeight="true" outlineLevel="0" collapsed="false">
      <c r="B23" s="8" t="s">
        <v>16</v>
      </c>
      <c r="C23" s="8"/>
    </row>
  </sheetData>
  <mergeCells count="17">
    <mergeCell ref="A1:C1"/>
    <mergeCell ref="A2:C2"/>
    <mergeCell ref="B4:C4"/>
    <mergeCell ref="B5:C5"/>
    <mergeCell ref="B7:C7"/>
    <mergeCell ref="B8:C8"/>
    <mergeCell ref="B9:C9"/>
    <mergeCell ref="B11:C11"/>
    <mergeCell ref="B12:C12"/>
    <mergeCell ref="B13:C13"/>
    <mergeCell ref="B15:C15"/>
    <mergeCell ref="B16:C16"/>
    <mergeCell ref="B17:C17"/>
    <mergeCell ref="B19:C19"/>
    <mergeCell ref="B20:C20"/>
    <mergeCell ref="B21:C21"/>
    <mergeCell ref="B23:C23"/>
  </mergeCell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8"/>
    <pageSetUpPr fitToPage="true"/>
  </sheetPr>
  <dimension ref="A1: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46"/>
  </cols>
  <sheetData>
    <row r="1" customFormat="false" ht="27.75" hidden="false" customHeight="true" outlineLevel="0" collapsed="false">
      <c r="A1" s="9" t="s">
        <v>17</v>
      </c>
      <c r="B1" s="9"/>
      <c r="C1" s="9"/>
    </row>
    <row r="2" customFormat="false" ht="25.5" hidden="false" customHeight="true" outlineLevel="0" collapsed="false">
      <c r="A2" s="8" t="s">
        <v>18</v>
      </c>
      <c r="B2" s="8"/>
      <c r="C2" s="8"/>
    </row>
    <row r="3" customFormat="false" ht="31.5" hidden="false" customHeight="true" outlineLevel="0" collapsed="false">
      <c r="A3" s="10" t="s">
        <v>19</v>
      </c>
      <c r="B3" s="10" t="s">
        <v>20</v>
      </c>
      <c r="C3" s="10" t="s">
        <v>21</v>
      </c>
    </row>
    <row r="4" customFormat="false" ht="15.75" hidden="false" customHeight="true" outlineLevel="0" collapsed="false">
      <c r="A4" s="11" t="n">
        <v>1</v>
      </c>
      <c r="B4" s="12" t="s">
        <v>22</v>
      </c>
      <c r="C4" s="13"/>
    </row>
    <row r="5" customFormat="false" ht="15.75" hidden="false" customHeight="true" outlineLevel="0" collapsed="false">
      <c r="A5" s="11" t="n">
        <v>2</v>
      </c>
      <c r="B5" s="12" t="s">
        <v>23</v>
      </c>
      <c r="C5" s="13"/>
    </row>
    <row r="6" customFormat="false" ht="15.75" hidden="false" customHeight="true" outlineLevel="0" collapsed="false">
      <c r="A6" s="11" t="n">
        <v>3</v>
      </c>
      <c r="B6" s="12" t="s">
        <v>24</v>
      </c>
      <c r="C6" s="13"/>
    </row>
    <row r="7" customFormat="false" ht="15.75" hidden="false" customHeight="true" outlineLevel="0" collapsed="false">
      <c r="A7" s="11" t="n">
        <v>4</v>
      </c>
      <c r="B7" s="12" t="s">
        <v>25</v>
      </c>
      <c r="C7" s="13"/>
    </row>
    <row r="8" customFormat="false" ht="15.75" hidden="false" customHeight="true" outlineLevel="0" collapsed="false">
      <c r="A8" s="11" t="n">
        <v>5</v>
      </c>
      <c r="B8" s="12" t="s">
        <v>26</v>
      </c>
      <c r="C8" s="13"/>
    </row>
    <row r="9" customFormat="false" ht="15.75" hidden="false" customHeight="true" outlineLevel="0" collapsed="false">
      <c r="A9" s="11" t="n">
        <v>6</v>
      </c>
      <c r="B9" s="12" t="s">
        <v>27</v>
      </c>
      <c r="C9" s="13"/>
    </row>
    <row r="10" customFormat="false" ht="15.75" hidden="false" customHeight="true" outlineLevel="0" collapsed="false">
      <c r="A10" s="11" t="n">
        <v>7</v>
      </c>
      <c r="B10" s="12" t="s">
        <v>28</v>
      </c>
      <c r="C10" s="13"/>
    </row>
    <row r="11" customFormat="false" ht="15.75" hidden="false" customHeight="true" outlineLevel="0" collapsed="false">
      <c r="A11" s="11" t="n">
        <v>8</v>
      </c>
      <c r="B11" s="12" t="s">
        <v>29</v>
      </c>
      <c r="C11" s="13"/>
    </row>
    <row r="12" customFormat="false" ht="15.75" hidden="false" customHeight="true" outlineLevel="0" collapsed="false">
      <c r="A12" s="11" t="n">
        <v>9</v>
      </c>
      <c r="B12" s="12" t="s">
        <v>30</v>
      </c>
      <c r="C12" s="13"/>
    </row>
    <row r="13" customFormat="false" ht="15.75" hidden="false" customHeight="true" outlineLevel="0" collapsed="false">
      <c r="A13" s="11" t="n">
        <v>10</v>
      </c>
      <c r="B13" s="12" t="s">
        <v>31</v>
      </c>
      <c r="C13" s="13"/>
    </row>
    <row r="14" customFormat="false" ht="15.75" hidden="false" customHeight="true" outlineLevel="0" collapsed="false">
      <c r="A14" s="11" t="n">
        <v>11</v>
      </c>
      <c r="B14" s="12" t="s">
        <v>32</v>
      </c>
      <c r="C14" s="13"/>
    </row>
    <row r="15" customFormat="false" ht="15.75" hidden="false" customHeight="true" outlineLevel="0" collapsed="false">
      <c r="A15" s="11" t="n">
        <v>12</v>
      </c>
      <c r="B15" s="12" t="s">
        <v>33</v>
      </c>
      <c r="C15" s="13"/>
    </row>
    <row r="16" customFormat="false" ht="15.75" hidden="false" customHeight="true" outlineLevel="0" collapsed="false">
      <c r="A16" s="11" t="n">
        <v>13</v>
      </c>
      <c r="B16" s="12" t="s">
        <v>34</v>
      </c>
      <c r="C16" s="13"/>
    </row>
    <row r="17" customFormat="false" ht="15.75" hidden="false" customHeight="true" outlineLevel="0" collapsed="false">
      <c r="A17" s="11" t="n">
        <v>14</v>
      </c>
      <c r="B17" s="12" t="s">
        <v>35</v>
      </c>
      <c r="C17" s="13"/>
    </row>
    <row r="18" customFormat="false" ht="15.75" hidden="false" customHeight="true" outlineLevel="0" collapsed="false">
      <c r="A18" s="11" t="n">
        <v>15</v>
      </c>
      <c r="B18" s="12" t="s">
        <v>36</v>
      </c>
      <c r="C18" s="13"/>
    </row>
    <row r="19" customFormat="false" ht="15.75" hidden="false" customHeight="true" outlineLevel="0" collapsed="false">
      <c r="A19" s="11" t="n">
        <v>16</v>
      </c>
      <c r="B19" s="12" t="s">
        <v>37</v>
      </c>
      <c r="C19" s="13"/>
    </row>
    <row r="20" customFormat="false" ht="15.75" hidden="false" customHeight="true" outlineLevel="0" collapsed="false">
      <c r="A20" s="11" t="n">
        <v>17</v>
      </c>
      <c r="B20" s="12" t="s">
        <v>38</v>
      </c>
      <c r="C20" s="13"/>
    </row>
    <row r="21" customFormat="false" ht="15.75" hidden="false" customHeight="true" outlineLevel="0" collapsed="false">
      <c r="A21" s="11" t="n">
        <v>18</v>
      </c>
      <c r="B21" s="12" t="s">
        <v>39</v>
      </c>
      <c r="C21" s="13"/>
    </row>
    <row r="22" customFormat="false" ht="15.75" hidden="false" customHeight="true" outlineLevel="0" collapsed="false">
      <c r="A22" s="11" t="n">
        <v>19</v>
      </c>
      <c r="B22" s="12" t="s">
        <v>40</v>
      </c>
      <c r="C22" s="13"/>
    </row>
    <row r="23" customFormat="false" ht="15.75" hidden="false" customHeight="true" outlineLevel="0" collapsed="false">
      <c r="A23" s="11" t="n">
        <v>20</v>
      </c>
      <c r="B23" s="12" t="s">
        <v>41</v>
      </c>
      <c r="C23" s="13"/>
    </row>
  </sheetData>
  <mergeCells count="2">
    <mergeCell ref="A1:C1"/>
    <mergeCell ref="A2:C2"/>
  </mergeCell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8"/>
    <pageSetUpPr fitToPage="true"/>
  </sheetPr>
  <dimension ref="A1:E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26"/>
    <col collapsed="false" customWidth="true" hidden="false" outlineLevel="0" max="3" min="3" style="0" width="32"/>
    <col collapsed="false" customWidth="true" hidden="false" outlineLevel="0" max="4" min="4" style="0" width="24"/>
    <col collapsed="false" customWidth="true" hidden="false" outlineLevel="0" max="5" min="5" style="0" width="30"/>
  </cols>
  <sheetData>
    <row r="1" customFormat="false" ht="27.75" hidden="false" customHeight="true" outlineLevel="0" collapsed="false">
      <c r="A1" s="9" t="s">
        <v>42</v>
      </c>
      <c r="B1" s="9"/>
      <c r="C1" s="9"/>
      <c r="D1" s="9"/>
      <c r="E1" s="9"/>
    </row>
    <row r="2" customFormat="false" ht="33.75" hidden="false" customHeight="true" outlineLevel="0" collapsed="false">
      <c r="A2" s="8" t="s">
        <v>43</v>
      </c>
      <c r="B2" s="8"/>
      <c r="C2" s="8"/>
      <c r="D2" s="8"/>
      <c r="E2" s="8"/>
    </row>
    <row r="3" customFormat="false" ht="27.75" hidden="false" customHeight="true" outlineLevel="0" collapsed="false">
      <c r="A3" s="10" t="s">
        <v>44</v>
      </c>
      <c r="B3" s="10" t="s">
        <v>45</v>
      </c>
      <c r="C3" s="10" t="s">
        <v>46</v>
      </c>
      <c r="D3" s="10" t="s">
        <v>47</v>
      </c>
      <c r="E3" s="10" t="s">
        <v>48</v>
      </c>
    </row>
    <row r="4" customFormat="false" ht="15" hidden="false" customHeight="false" outlineLevel="0" collapsed="false">
      <c r="A4" s="14" t="s">
        <v>49</v>
      </c>
      <c r="B4" s="14" t="s">
        <v>50</v>
      </c>
      <c r="C4" s="15" t="s">
        <v>51</v>
      </c>
      <c r="D4" s="14" t="s">
        <v>52</v>
      </c>
      <c r="E4" s="16"/>
    </row>
    <row r="5" customFormat="false" ht="15" hidden="false" customHeight="false" outlineLevel="0" collapsed="false">
      <c r="A5" s="11" t="s">
        <v>49</v>
      </c>
      <c r="B5" s="11" t="s">
        <v>53</v>
      </c>
      <c r="C5" s="17" t="s">
        <v>54</v>
      </c>
      <c r="D5" s="11" t="s">
        <v>52</v>
      </c>
      <c r="E5" s="13"/>
    </row>
    <row r="6" customFormat="false" ht="15" hidden="false" customHeight="false" outlineLevel="0" collapsed="false">
      <c r="A6" s="14" t="s">
        <v>55</v>
      </c>
      <c r="B6" s="14" t="s">
        <v>56</v>
      </c>
      <c r="C6" s="15" t="s">
        <v>57</v>
      </c>
      <c r="D6" s="14" t="s">
        <v>52</v>
      </c>
      <c r="E6" s="16"/>
    </row>
    <row r="7" customFormat="false" ht="15" hidden="false" customHeight="false" outlineLevel="0" collapsed="false">
      <c r="A7" s="11" t="s">
        <v>55</v>
      </c>
      <c r="B7" s="11" t="s">
        <v>58</v>
      </c>
      <c r="C7" s="17" t="s">
        <v>59</v>
      </c>
      <c r="D7" s="11" t="s">
        <v>52</v>
      </c>
      <c r="E7" s="13"/>
    </row>
    <row r="8" customFormat="false" ht="15" hidden="false" customHeight="false" outlineLevel="0" collapsed="false">
      <c r="A8" s="14" t="s">
        <v>55</v>
      </c>
      <c r="B8" s="14" t="s">
        <v>60</v>
      </c>
      <c r="C8" s="15" t="s">
        <v>61</v>
      </c>
      <c r="D8" s="14" t="s">
        <v>52</v>
      </c>
      <c r="E8" s="16"/>
    </row>
    <row r="9" customFormat="false" ht="15" hidden="false" customHeight="false" outlineLevel="0" collapsed="false">
      <c r="A9" s="11" t="s">
        <v>62</v>
      </c>
      <c r="B9" s="11" t="s">
        <v>63</v>
      </c>
      <c r="C9" s="17" t="s">
        <v>64</v>
      </c>
      <c r="D9" s="11" t="s">
        <v>52</v>
      </c>
      <c r="E9" s="13"/>
    </row>
    <row r="10" customFormat="false" ht="15" hidden="false" customHeight="false" outlineLevel="0" collapsed="false">
      <c r="A10" s="14" t="s">
        <v>62</v>
      </c>
      <c r="B10" s="14" t="s">
        <v>65</v>
      </c>
      <c r="C10" s="15" t="s">
        <v>66</v>
      </c>
      <c r="D10" s="14" t="s">
        <v>52</v>
      </c>
      <c r="E10" s="16"/>
    </row>
    <row r="11" customFormat="false" ht="15" hidden="false" customHeight="false" outlineLevel="0" collapsed="false">
      <c r="A11" s="11" t="s">
        <v>62</v>
      </c>
      <c r="B11" s="11" t="s">
        <v>67</v>
      </c>
      <c r="C11" s="17" t="s">
        <v>68</v>
      </c>
      <c r="D11" s="11" t="s">
        <v>52</v>
      </c>
      <c r="E11" s="13"/>
    </row>
    <row r="12" customFormat="false" ht="15" hidden="false" customHeight="false" outlineLevel="0" collapsed="false">
      <c r="A12" s="14" t="s">
        <v>62</v>
      </c>
      <c r="B12" s="14" t="s">
        <v>69</v>
      </c>
      <c r="C12" s="15" t="s">
        <v>70</v>
      </c>
      <c r="D12" s="14" t="s">
        <v>52</v>
      </c>
      <c r="E12" s="16"/>
    </row>
    <row r="13" customFormat="false" ht="15" hidden="false" customHeight="false" outlineLevel="0" collapsed="false">
      <c r="A13" s="11" t="s">
        <v>62</v>
      </c>
      <c r="B13" s="11" t="s">
        <v>71</v>
      </c>
      <c r="C13" s="17" t="s">
        <v>72</v>
      </c>
      <c r="D13" s="11" t="s">
        <v>52</v>
      </c>
      <c r="E13" s="13"/>
    </row>
    <row r="14" customFormat="false" ht="15" hidden="false" customHeight="false" outlineLevel="0" collapsed="false">
      <c r="A14" s="14" t="s">
        <v>62</v>
      </c>
      <c r="B14" s="14" t="s">
        <v>73</v>
      </c>
      <c r="C14" s="15" t="s">
        <v>74</v>
      </c>
      <c r="D14" s="14" t="s">
        <v>52</v>
      </c>
      <c r="E14" s="16"/>
    </row>
    <row r="15" customFormat="false" ht="15" hidden="false" customHeight="false" outlineLevel="0" collapsed="false">
      <c r="A15" s="11" t="s">
        <v>62</v>
      </c>
      <c r="B15" s="11" t="s">
        <v>75</v>
      </c>
      <c r="C15" s="17" t="s">
        <v>76</v>
      </c>
      <c r="D15" s="11" t="s">
        <v>52</v>
      </c>
      <c r="E15" s="13"/>
    </row>
    <row r="16" customFormat="false" ht="15" hidden="false" customHeight="false" outlineLevel="0" collapsed="false">
      <c r="A16" s="14" t="s">
        <v>77</v>
      </c>
      <c r="B16" s="14" t="s">
        <v>78</v>
      </c>
      <c r="C16" s="15" t="s">
        <v>79</v>
      </c>
      <c r="D16" s="14" t="s">
        <v>52</v>
      </c>
      <c r="E16" s="16"/>
    </row>
    <row r="17" customFormat="false" ht="15" hidden="false" customHeight="false" outlineLevel="0" collapsed="false">
      <c r="A17" s="11" t="s">
        <v>77</v>
      </c>
      <c r="B17" s="11" t="s">
        <v>80</v>
      </c>
      <c r="C17" s="17" t="s">
        <v>81</v>
      </c>
      <c r="D17" s="11" t="s">
        <v>52</v>
      </c>
      <c r="E17" s="13"/>
    </row>
    <row r="18" customFormat="false" ht="19.5" hidden="false" customHeight="true" outlineLevel="0" collapsed="false">
      <c r="A18" s="18" t="s">
        <v>82</v>
      </c>
      <c r="B18" s="18"/>
      <c r="C18" s="18"/>
      <c r="D18" s="18"/>
      <c r="E18" s="18"/>
    </row>
    <row r="19" customFormat="false" ht="15" hidden="false" customHeight="false" outlineLevel="0" collapsed="false">
      <c r="A19" s="19"/>
      <c r="B19" s="19"/>
      <c r="C19" s="20"/>
      <c r="D19" s="19"/>
      <c r="E19" s="13"/>
    </row>
    <row r="20" customFormat="false" ht="15" hidden="false" customHeight="false" outlineLevel="0" collapsed="false">
      <c r="A20" s="19"/>
      <c r="B20" s="19"/>
      <c r="C20" s="20"/>
      <c r="D20" s="19"/>
      <c r="E20" s="13"/>
    </row>
    <row r="21" customFormat="false" ht="15" hidden="false" customHeight="false" outlineLevel="0" collapsed="false">
      <c r="A21" s="19"/>
      <c r="B21" s="19"/>
      <c r="C21" s="20"/>
      <c r="D21" s="19"/>
      <c r="E21" s="13"/>
    </row>
    <row r="22" customFormat="false" ht="15" hidden="false" customHeight="false" outlineLevel="0" collapsed="false">
      <c r="A22" s="19"/>
      <c r="B22" s="19"/>
      <c r="C22" s="20"/>
      <c r="D22" s="19"/>
      <c r="E22" s="13"/>
    </row>
    <row r="23" customFormat="false" ht="15" hidden="false" customHeight="false" outlineLevel="0" collapsed="false">
      <c r="A23" s="19"/>
      <c r="B23" s="19"/>
      <c r="C23" s="20"/>
      <c r="D23" s="19"/>
      <c r="E23" s="13"/>
    </row>
    <row r="24" customFormat="false" ht="15" hidden="false" customHeight="false" outlineLevel="0" collapsed="false">
      <c r="A24" s="19"/>
      <c r="B24" s="19"/>
      <c r="C24" s="20"/>
      <c r="D24" s="19"/>
      <c r="E24" s="13"/>
    </row>
    <row r="25" customFormat="false" ht="15" hidden="false" customHeight="false" outlineLevel="0" collapsed="false">
      <c r="A25" s="19"/>
      <c r="B25" s="19"/>
      <c r="C25" s="20"/>
      <c r="D25" s="19"/>
      <c r="E25" s="13"/>
    </row>
    <row r="26" customFormat="false" ht="15" hidden="false" customHeight="false" outlineLevel="0" collapsed="false">
      <c r="A26" s="19"/>
      <c r="B26" s="19"/>
      <c r="C26" s="20"/>
      <c r="D26" s="19"/>
      <c r="E26" s="13"/>
    </row>
    <row r="27" customFormat="false" ht="15" hidden="false" customHeight="false" outlineLevel="0" collapsed="false">
      <c r="A27" s="19"/>
      <c r="B27" s="19"/>
      <c r="C27" s="20"/>
      <c r="D27" s="19"/>
      <c r="E27" s="13"/>
    </row>
    <row r="28" customFormat="false" ht="15" hidden="false" customHeight="false" outlineLevel="0" collapsed="false">
      <c r="A28" s="19"/>
      <c r="B28" s="19"/>
      <c r="C28" s="20"/>
      <c r="D28" s="19"/>
      <c r="E28" s="13"/>
    </row>
    <row r="29" customFormat="false" ht="15" hidden="false" customHeight="false" outlineLevel="0" collapsed="false">
      <c r="A29" s="19"/>
      <c r="B29" s="19"/>
      <c r="C29" s="20"/>
      <c r="D29" s="19"/>
      <c r="E29" s="13"/>
    </row>
    <row r="30" customFormat="false" ht="15" hidden="false" customHeight="false" outlineLevel="0" collapsed="false">
      <c r="A30" s="19"/>
      <c r="B30" s="19"/>
      <c r="C30" s="20"/>
      <c r="D30" s="19"/>
      <c r="E30" s="13"/>
    </row>
    <row r="31" customFormat="false" ht="15" hidden="false" customHeight="false" outlineLevel="0" collapsed="false">
      <c r="A31" s="19"/>
      <c r="B31" s="19"/>
      <c r="C31" s="20"/>
      <c r="D31" s="19"/>
      <c r="E31" s="13"/>
    </row>
    <row r="32" customFormat="false" ht="15" hidden="false" customHeight="false" outlineLevel="0" collapsed="false">
      <c r="A32" s="19"/>
      <c r="B32" s="19"/>
      <c r="C32" s="20"/>
      <c r="D32" s="19"/>
      <c r="E32" s="13"/>
    </row>
    <row r="33" customFormat="false" ht="15" hidden="false" customHeight="false" outlineLevel="0" collapsed="false">
      <c r="A33" s="19"/>
      <c r="B33" s="19"/>
      <c r="C33" s="20"/>
      <c r="D33" s="19"/>
      <c r="E33" s="13"/>
    </row>
    <row r="34" customFormat="false" ht="15" hidden="false" customHeight="false" outlineLevel="0" collapsed="false">
      <c r="A34" s="19"/>
      <c r="B34" s="19"/>
      <c r="C34" s="20"/>
      <c r="D34" s="19"/>
      <c r="E34" s="13"/>
    </row>
    <row r="35" customFormat="false" ht="15" hidden="false" customHeight="false" outlineLevel="0" collapsed="false">
      <c r="A35" s="19"/>
      <c r="B35" s="19"/>
      <c r="C35" s="20"/>
      <c r="D35" s="19"/>
      <c r="E35" s="13"/>
    </row>
    <row r="36" customFormat="false" ht="15" hidden="false" customHeight="false" outlineLevel="0" collapsed="false">
      <c r="A36" s="19"/>
      <c r="B36" s="19"/>
      <c r="C36" s="20"/>
      <c r="D36" s="19"/>
      <c r="E36" s="13"/>
    </row>
    <row r="37" customFormat="false" ht="15" hidden="false" customHeight="false" outlineLevel="0" collapsed="false">
      <c r="A37" s="19"/>
      <c r="B37" s="19"/>
      <c r="C37" s="20"/>
      <c r="D37" s="19"/>
      <c r="E37" s="13"/>
    </row>
    <row r="38" customFormat="false" ht="15" hidden="false" customHeight="false" outlineLevel="0" collapsed="false">
      <c r="A38" s="19"/>
      <c r="B38" s="19"/>
      <c r="C38" s="20"/>
      <c r="D38" s="19"/>
      <c r="E38" s="13"/>
    </row>
    <row r="39" customFormat="false" ht="15" hidden="false" customHeight="false" outlineLevel="0" collapsed="false">
      <c r="A39" s="19"/>
      <c r="B39" s="19"/>
      <c r="C39" s="20"/>
      <c r="D39" s="19"/>
      <c r="E39" s="13"/>
    </row>
    <row r="40" customFormat="false" ht="15" hidden="false" customHeight="false" outlineLevel="0" collapsed="false">
      <c r="A40" s="19"/>
      <c r="B40" s="19"/>
      <c r="C40" s="20"/>
      <c r="D40" s="19"/>
      <c r="E40" s="13"/>
    </row>
    <row r="41" customFormat="false" ht="15" hidden="false" customHeight="false" outlineLevel="0" collapsed="false">
      <c r="A41" s="19"/>
      <c r="B41" s="19"/>
      <c r="C41" s="20"/>
      <c r="D41" s="19"/>
      <c r="E41" s="13"/>
    </row>
    <row r="42" customFormat="false" ht="15" hidden="false" customHeight="false" outlineLevel="0" collapsed="false">
      <c r="A42" s="19"/>
      <c r="B42" s="19"/>
      <c r="C42" s="20"/>
      <c r="D42" s="19"/>
      <c r="E42" s="13"/>
    </row>
    <row r="43" customFormat="false" ht="15" hidden="false" customHeight="false" outlineLevel="0" collapsed="false">
      <c r="A43" s="19"/>
      <c r="B43" s="19"/>
      <c r="C43" s="20"/>
      <c r="D43" s="19"/>
      <c r="E43" s="13"/>
    </row>
    <row r="44" customFormat="false" ht="15" hidden="false" customHeight="false" outlineLevel="0" collapsed="false">
      <c r="A44" s="19"/>
      <c r="B44" s="19"/>
      <c r="C44" s="20"/>
      <c r="D44" s="19"/>
      <c r="E44" s="13"/>
    </row>
    <row r="45" customFormat="false" ht="15" hidden="false" customHeight="false" outlineLevel="0" collapsed="false">
      <c r="A45" s="19"/>
      <c r="B45" s="19"/>
      <c r="C45" s="20"/>
      <c r="D45" s="19"/>
      <c r="E45" s="13"/>
    </row>
    <row r="46" customFormat="false" ht="15" hidden="false" customHeight="false" outlineLevel="0" collapsed="false">
      <c r="A46" s="19"/>
      <c r="B46" s="19"/>
      <c r="C46" s="20"/>
      <c r="D46" s="19"/>
      <c r="E46" s="13"/>
    </row>
    <row r="47" customFormat="false" ht="15" hidden="false" customHeight="false" outlineLevel="0" collapsed="false">
      <c r="A47" s="19"/>
      <c r="B47" s="19"/>
      <c r="C47" s="20"/>
      <c r="D47" s="19"/>
      <c r="E47" s="13"/>
    </row>
    <row r="48" customFormat="false" ht="15" hidden="false" customHeight="false" outlineLevel="0" collapsed="false">
      <c r="A48" s="19"/>
      <c r="B48" s="19"/>
      <c r="C48" s="20"/>
      <c r="D48" s="19"/>
      <c r="E48" s="13"/>
    </row>
    <row r="49" customFormat="false" ht="15" hidden="false" customHeight="false" outlineLevel="0" collapsed="false">
      <c r="A49" s="19"/>
      <c r="B49" s="19"/>
      <c r="C49" s="20"/>
      <c r="D49" s="19"/>
      <c r="E49" s="13"/>
    </row>
    <row r="50" customFormat="false" ht="15" hidden="false" customHeight="false" outlineLevel="0" collapsed="false">
      <c r="A50" s="19"/>
      <c r="B50" s="19"/>
      <c r="C50" s="20"/>
      <c r="D50" s="19"/>
      <c r="E50" s="13"/>
    </row>
    <row r="51" customFormat="false" ht="15" hidden="false" customHeight="false" outlineLevel="0" collapsed="false">
      <c r="A51" s="19"/>
      <c r="B51" s="19"/>
      <c r="C51" s="20"/>
      <c r="D51" s="19"/>
      <c r="E51" s="13"/>
    </row>
    <row r="52" customFormat="false" ht="15" hidden="false" customHeight="false" outlineLevel="0" collapsed="false">
      <c r="A52" s="19"/>
      <c r="B52" s="19"/>
      <c r="C52" s="20"/>
      <c r="D52" s="19"/>
      <c r="E52" s="13"/>
    </row>
    <row r="53" customFormat="false" ht="15" hidden="false" customHeight="false" outlineLevel="0" collapsed="false">
      <c r="A53" s="19"/>
      <c r="B53" s="19"/>
      <c r="C53" s="20"/>
      <c r="D53" s="19"/>
      <c r="E53" s="13"/>
    </row>
    <row r="54" customFormat="false" ht="15" hidden="false" customHeight="false" outlineLevel="0" collapsed="false">
      <c r="A54" s="19"/>
      <c r="B54" s="19"/>
      <c r="C54" s="20"/>
      <c r="D54" s="19"/>
      <c r="E54" s="13"/>
    </row>
    <row r="55" customFormat="false" ht="15" hidden="false" customHeight="false" outlineLevel="0" collapsed="false">
      <c r="A55" s="19"/>
      <c r="B55" s="19"/>
      <c r="C55" s="20"/>
      <c r="D55" s="19"/>
      <c r="E55" s="13"/>
    </row>
    <row r="56" customFormat="false" ht="15" hidden="false" customHeight="false" outlineLevel="0" collapsed="false">
      <c r="A56" s="19"/>
      <c r="B56" s="19"/>
      <c r="C56" s="20"/>
      <c r="D56" s="19"/>
      <c r="E56" s="13"/>
    </row>
    <row r="57" customFormat="false" ht="15" hidden="false" customHeight="false" outlineLevel="0" collapsed="false">
      <c r="A57" s="19"/>
      <c r="B57" s="19"/>
      <c r="C57" s="20"/>
      <c r="D57" s="19"/>
      <c r="E57" s="13"/>
    </row>
    <row r="58" customFormat="false" ht="15" hidden="false" customHeight="false" outlineLevel="0" collapsed="false">
      <c r="A58" s="19"/>
      <c r="B58" s="19"/>
      <c r="C58" s="20"/>
      <c r="D58" s="19"/>
      <c r="E58" s="13"/>
    </row>
    <row r="59" customFormat="false" ht="15" hidden="false" customHeight="false" outlineLevel="0" collapsed="false">
      <c r="A59" s="19"/>
      <c r="B59" s="19"/>
      <c r="C59" s="20"/>
      <c r="D59" s="19"/>
      <c r="E59" s="13"/>
    </row>
    <row r="60" customFormat="false" ht="15" hidden="false" customHeight="false" outlineLevel="0" collapsed="false">
      <c r="A60" s="19"/>
      <c r="B60" s="19"/>
      <c r="C60" s="20"/>
      <c r="D60" s="19"/>
      <c r="E60" s="13"/>
    </row>
    <row r="61" customFormat="false" ht="15" hidden="false" customHeight="false" outlineLevel="0" collapsed="false">
      <c r="A61" s="19"/>
      <c r="B61" s="19"/>
      <c r="C61" s="20"/>
      <c r="D61" s="19"/>
      <c r="E61" s="13"/>
    </row>
    <row r="62" customFormat="false" ht="15" hidden="false" customHeight="false" outlineLevel="0" collapsed="false">
      <c r="A62" s="19"/>
      <c r="B62" s="19"/>
      <c r="C62" s="20"/>
      <c r="D62" s="19"/>
      <c r="E62" s="13"/>
    </row>
    <row r="63" customFormat="false" ht="15" hidden="false" customHeight="false" outlineLevel="0" collapsed="false">
      <c r="A63" s="19"/>
      <c r="B63" s="19"/>
      <c r="C63" s="20"/>
      <c r="D63" s="19"/>
      <c r="E63" s="13"/>
    </row>
    <row r="64" customFormat="false" ht="15" hidden="false" customHeight="false" outlineLevel="0" collapsed="false">
      <c r="A64" s="19"/>
      <c r="B64" s="19"/>
      <c r="C64" s="20"/>
      <c r="D64" s="19"/>
      <c r="E64" s="13"/>
    </row>
    <row r="65" customFormat="false" ht="15" hidden="false" customHeight="false" outlineLevel="0" collapsed="false">
      <c r="A65" s="19"/>
      <c r="B65" s="19"/>
      <c r="C65" s="20"/>
      <c r="D65" s="19"/>
      <c r="E65" s="13"/>
    </row>
    <row r="66" customFormat="false" ht="15" hidden="false" customHeight="false" outlineLevel="0" collapsed="false">
      <c r="A66" s="19"/>
      <c r="B66" s="19"/>
      <c r="C66" s="20"/>
      <c r="D66" s="19"/>
      <c r="E66" s="13"/>
    </row>
    <row r="67" customFormat="false" ht="15" hidden="false" customHeight="false" outlineLevel="0" collapsed="false">
      <c r="A67" s="19"/>
      <c r="B67" s="19"/>
      <c r="C67" s="20"/>
      <c r="D67" s="19"/>
      <c r="E67" s="13"/>
    </row>
    <row r="68" customFormat="false" ht="15" hidden="false" customHeight="false" outlineLevel="0" collapsed="false">
      <c r="A68" s="19"/>
      <c r="B68" s="19"/>
      <c r="C68" s="20"/>
      <c r="D68" s="19"/>
      <c r="E68" s="13"/>
    </row>
    <row r="69" customFormat="false" ht="15" hidden="false" customHeight="false" outlineLevel="0" collapsed="false">
      <c r="A69" s="19"/>
      <c r="B69" s="19"/>
      <c r="C69" s="20"/>
      <c r="D69" s="19"/>
      <c r="E69" s="13"/>
    </row>
    <row r="70" customFormat="false" ht="15" hidden="false" customHeight="false" outlineLevel="0" collapsed="false">
      <c r="A70" s="19"/>
      <c r="B70" s="19"/>
      <c r="C70" s="20"/>
      <c r="D70" s="19"/>
      <c r="E70" s="13"/>
    </row>
    <row r="71" customFormat="false" ht="15" hidden="false" customHeight="false" outlineLevel="0" collapsed="false">
      <c r="A71" s="19"/>
      <c r="B71" s="19"/>
      <c r="C71" s="20"/>
      <c r="D71" s="19"/>
      <c r="E71" s="13"/>
    </row>
    <row r="72" customFormat="false" ht="15" hidden="false" customHeight="false" outlineLevel="0" collapsed="false">
      <c r="A72" s="19"/>
      <c r="B72" s="19"/>
      <c r="C72" s="20"/>
      <c r="D72" s="19"/>
      <c r="E72" s="13"/>
    </row>
    <row r="73" customFormat="false" ht="15" hidden="false" customHeight="false" outlineLevel="0" collapsed="false">
      <c r="A73" s="19"/>
      <c r="B73" s="19"/>
      <c r="C73" s="20"/>
      <c r="D73" s="19"/>
      <c r="E73" s="13"/>
    </row>
    <row r="74" customFormat="false" ht="15" hidden="false" customHeight="false" outlineLevel="0" collapsed="false">
      <c r="A74" s="19"/>
      <c r="B74" s="19"/>
      <c r="C74" s="20"/>
      <c r="D74" s="19"/>
      <c r="E74" s="13"/>
    </row>
    <row r="75" customFormat="false" ht="15" hidden="false" customHeight="false" outlineLevel="0" collapsed="false">
      <c r="A75" s="19"/>
      <c r="B75" s="19"/>
      <c r="C75" s="20"/>
      <c r="D75" s="19"/>
      <c r="E75" s="13"/>
    </row>
    <row r="76" customFormat="false" ht="15" hidden="false" customHeight="false" outlineLevel="0" collapsed="false">
      <c r="A76" s="19"/>
      <c r="B76" s="19"/>
      <c r="C76" s="20"/>
      <c r="D76" s="19"/>
      <c r="E76" s="13"/>
    </row>
    <row r="77" customFormat="false" ht="15" hidden="false" customHeight="false" outlineLevel="0" collapsed="false">
      <c r="A77" s="19"/>
      <c r="B77" s="19"/>
      <c r="C77" s="20"/>
      <c r="D77" s="19"/>
      <c r="E77" s="13"/>
    </row>
    <row r="78" customFormat="false" ht="15" hidden="false" customHeight="false" outlineLevel="0" collapsed="false">
      <c r="A78" s="19"/>
      <c r="B78" s="19"/>
      <c r="C78" s="20"/>
      <c r="D78" s="19"/>
      <c r="E78" s="13"/>
    </row>
  </sheetData>
  <mergeCells count="3">
    <mergeCell ref="A1:E1"/>
    <mergeCell ref="A2:E2"/>
    <mergeCell ref="A18:E18"/>
  </mergeCell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CE6F1"/>
    <pageSetUpPr fitToPage="true"/>
  </sheetPr>
  <dimension ref="A1:I2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4"/>
    <col collapsed="false" customWidth="true" hidden="false" outlineLevel="0" max="3" min="3" style="0" width="8"/>
    <col collapsed="false" customWidth="true" hidden="false" outlineLevel="0" max="4" min="4" style="0" width="9"/>
    <col collapsed="false" customWidth="true" hidden="false" outlineLevel="0" max="5" min="5" style="0" width="28"/>
    <col collapsed="false" customWidth="true" hidden="false" outlineLevel="0" max="7" min="6" style="0" width="13"/>
    <col collapsed="false" customWidth="true" hidden="false" outlineLevel="0" max="8" min="8" style="0" width="9"/>
    <col collapsed="false" customWidth="true" hidden="false" outlineLevel="0" max="9" min="9" style="0" width="16"/>
  </cols>
  <sheetData>
    <row r="1" customFormat="false" ht="27.75" hidden="false" customHeight="true" outlineLevel="0" collapsed="false">
      <c r="A1" s="21" t="s">
        <v>83</v>
      </c>
      <c r="B1" s="21"/>
      <c r="C1" s="21"/>
      <c r="D1" s="21"/>
      <c r="E1" s="21"/>
      <c r="F1" s="21"/>
      <c r="G1" s="21"/>
      <c r="H1" s="21"/>
      <c r="I1" s="21"/>
    </row>
    <row r="2" customFormat="false" ht="30" hidden="false" customHeight="true" outlineLevel="0" collapsed="false">
      <c r="A2" s="22" t="s">
        <v>84</v>
      </c>
      <c r="B2" s="22"/>
      <c r="C2" s="22"/>
      <c r="D2" s="22"/>
      <c r="E2" s="22"/>
      <c r="F2" s="22"/>
      <c r="G2" s="22"/>
      <c r="H2" s="22"/>
      <c r="I2" s="22"/>
    </row>
    <row r="3" customFormat="false" ht="30" hidden="false" customHeight="true" outlineLevel="0" collapsed="false">
      <c r="A3" s="10" t="s">
        <v>85</v>
      </c>
      <c r="B3" s="10" t="s">
        <v>86</v>
      </c>
      <c r="C3" s="10" t="s">
        <v>87</v>
      </c>
      <c r="D3" s="10" t="s">
        <v>88</v>
      </c>
      <c r="E3" s="10" t="s">
        <v>89</v>
      </c>
      <c r="F3" s="10" t="s">
        <v>90</v>
      </c>
      <c r="G3" s="10" t="s">
        <v>91</v>
      </c>
      <c r="H3" s="10" t="s">
        <v>92</v>
      </c>
      <c r="I3" s="10" t="s">
        <v>93</v>
      </c>
    </row>
    <row r="4" customFormat="false" ht="15" hidden="false" customHeight="true" outlineLevel="0" collapsed="false">
      <c r="A4" s="23"/>
      <c r="B4" s="24"/>
      <c r="C4" s="23"/>
      <c r="D4" s="23"/>
      <c r="E4" s="23"/>
      <c r="F4" s="23"/>
      <c r="G4" s="23"/>
      <c r="H4" s="23"/>
      <c r="I4" s="23"/>
    </row>
    <row r="5" customFormat="false" ht="15" hidden="false" customHeight="true" outlineLevel="0" collapsed="false">
      <c r="A5" s="23"/>
      <c r="B5" s="24"/>
      <c r="C5" s="23"/>
      <c r="D5" s="23"/>
      <c r="E5" s="23"/>
      <c r="F5" s="23"/>
      <c r="G5" s="23"/>
      <c r="H5" s="23"/>
      <c r="I5" s="23"/>
    </row>
    <row r="6" customFormat="false" ht="15" hidden="false" customHeight="true" outlineLevel="0" collapsed="false">
      <c r="A6" s="23"/>
      <c r="B6" s="24"/>
      <c r="C6" s="23"/>
      <c r="D6" s="23"/>
      <c r="E6" s="23"/>
      <c r="F6" s="23"/>
      <c r="G6" s="23"/>
      <c r="H6" s="23"/>
      <c r="I6" s="23"/>
    </row>
    <row r="7" customFormat="false" ht="15" hidden="false" customHeight="true" outlineLevel="0" collapsed="false">
      <c r="A7" s="23"/>
      <c r="B7" s="24"/>
      <c r="C7" s="23"/>
      <c r="D7" s="23"/>
      <c r="E7" s="23"/>
      <c r="F7" s="23"/>
      <c r="G7" s="23"/>
      <c r="H7" s="23"/>
      <c r="I7" s="23"/>
    </row>
    <row r="8" customFormat="false" ht="15" hidden="false" customHeight="true" outlineLevel="0" collapsed="false">
      <c r="A8" s="23"/>
      <c r="B8" s="24"/>
      <c r="C8" s="23"/>
      <c r="D8" s="23"/>
      <c r="E8" s="23"/>
      <c r="F8" s="23"/>
      <c r="G8" s="23"/>
      <c r="H8" s="23"/>
      <c r="I8" s="23"/>
    </row>
    <row r="9" customFormat="false" ht="15" hidden="false" customHeight="true" outlineLevel="0" collapsed="false">
      <c r="A9" s="23"/>
      <c r="B9" s="24"/>
      <c r="C9" s="23"/>
      <c r="D9" s="23"/>
      <c r="E9" s="23"/>
      <c r="F9" s="23"/>
      <c r="G9" s="23"/>
      <c r="H9" s="23"/>
      <c r="I9" s="23"/>
    </row>
    <row r="10" customFormat="false" ht="15" hidden="false" customHeight="true" outlineLevel="0" collapsed="false">
      <c r="A10" s="23"/>
      <c r="B10" s="24"/>
      <c r="C10" s="23"/>
      <c r="D10" s="23"/>
      <c r="E10" s="23"/>
      <c r="F10" s="23"/>
      <c r="G10" s="23"/>
      <c r="H10" s="23"/>
      <c r="I10" s="23"/>
    </row>
    <row r="11" customFormat="false" ht="15" hidden="false" customHeight="true" outlineLevel="0" collapsed="false">
      <c r="A11" s="23"/>
      <c r="B11" s="24"/>
      <c r="C11" s="23"/>
      <c r="D11" s="23"/>
      <c r="E11" s="23"/>
      <c r="F11" s="23"/>
      <c r="G11" s="23"/>
      <c r="H11" s="23"/>
      <c r="I11" s="23"/>
    </row>
    <row r="12" customFormat="false" ht="15" hidden="false" customHeight="true" outlineLevel="0" collapsed="false">
      <c r="A12" s="23"/>
      <c r="B12" s="24"/>
      <c r="C12" s="23"/>
      <c r="D12" s="23"/>
      <c r="E12" s="23"/>
      <c r="F12" s="23"/>
      <c r="G12" s="23"/>
      <c r="H12" s="23"/>
      <c r="I12" s="23"/>
    </row>
    <row r="13" customFormat="false" ht="15" hidden="false" customHeight="true" outlineLevel="0" collapsed="false">
      <c r="A13" s="23"/>
      <c r="B13" s="24"/>
      <c r="C13" s="23"/>
      <c r="D13" s="23"/>
      <c r="E13" s="23"/>
      <c r="F13" s="23"/>
      <c r="G13" s="23"/>
      <c r="H13" s="23"/>
      <c r="I13" s="23"/>
    </row>
    <row r="14" customFormat="false" ht="15" hidden="false" customHeight="true" outlineLevel="0" collapsed="false">
      <c r="A14" s="23"/>
      <c r="B14" s="24"/>
      <c r="C14" s="23"/>
      <c r="D14" s="23"/>
      <c r="E14" s="23"/>
      <c r="F14" s="23"/>
      <c r="G14" s="23"/>
      <c r="H14" s="23"/>
      <c r="I14" s="23"/>
    </row>
    <row r="15" customFormat="false" ht="15" hidden="false" customHeight="true" outlineLevel="0" collapsed="false">
      <c r="A15" s="23"/>
      <c r="B15" s="24"/>
      <c r="C15" s="23"/>
      <c r="D15" s="23"/>
      <c r="E15" s="23"/>
      <c r="F15" s="23"/>
      <c r="G15" s="23"/>
      <c r="H15" s="23"/>
      <c r="I15" s="23"/>
    </row>
    <row r="16" customFormat="false" ht="15" hidden="false" customHeight="true" outlineLevel="0" collapsed="false">
      <c r="A16" s="23"/>
      <c r="B16" s="24"/>
      <c r="C16" s="23"/>
      <c r="D16" s="23"/>
      <c r="E16" s="23"/>
      <c r="F16" s="23"/>
      <c r="G16" s="23"/>
      <c r="H16" s="23"/>
      <c r="I16" s="23"/>
    </row>
    <row r="17" customFormat="false" ht="15" hidden="false" customHeight="true" outlineLevel="0" collapsed="false">
      <c r="A17" s="23"/>
      <c r="B17" s="24"/>
      <c r="C17" s="23"/>
      <c r="D17" s="23"/>
      <c r="E17" s="23"/>
      <c r="F17" s="23"/>
      <c r="G17" s="23"/>
      <c r="H17" s="23"/>
      <c r="I17" s="23"/>
    </row>
    <row r="18" customFormat="false" ht="15" hidden="false" customHeight="true" outlineLevel="0" collapsed="false">
      <c r="A18" s="23"/>
      <c r="B18" s="24"/>
      <c r="C18" s="23"/>
      <c r="D18" s="23"/>
      <c r="E18" s="23"/>
      <c r="F18" s="23"/>
      <c r="G18" s="23"/>
      <c r="H18" s="23"/>
      <c r="I18" s="23"/>
    </row>
    <row r="19" customFormat="false" ht="15" hidden="false" customHeight="true" outlineLevel="0" collapsed="false">
      <c r="A19" s="23"/>
      <c r="B19" s="24"/>
      <c r="C19" s="23"/>
      <c r="D19" s="23"/>
      <c r="E19" s="23"/>
      <c r="F19" s="23"/>
      <c r="G19" s="23"/>
      <c r="H19" s="23"/>
      <c r="I19" s="23"/>
    </row>
    <row r="20" customFormat="false" ht="15" hidden="false" customHeight="true" outlineLevel="0" collapsed="false">
      <c r="A20" s="23"/>
      <c r="B20" s="24"/>
      <c r="C20" s="23"/>
      <c r="D20" s="23"/>
      <c r="E20" s="23"/>
      <c r="F20" s="23"/>
      <c r="G20" s="23"/>
      <c r="H20" s="23"/>
      <c r="I20" s="23"/>
    </row>
    <row r="21" customFormat="false" ht="15" hidden="false" customHeight="true" outlineLevel="0" collapsed="false">
      <c r="A21" s="23"/>
      <c r="B21" s="24"/>
      <c r="C21" s="23"/>
      <c r="D21" s="23"/>
      <c r="E21" s="23"/>
      <c r="F21" s="23"/>
      <c r="G21" s="23"/>
      <c r="H21" s="23"/>
      <c r="I21" s="23"/>
    </row>
    <row r="22" customFormat="false" ht="15" hidden="false" customHeight="true" outlineLevel="0" collapsed="false">
      <c r="A22" s="23"/>
      <c r="B22" s="24"/>
      <c r="C22" s="23"/>
      <c r="D22" s="23"/>
      <c r="E22" s="23"/>
      <c r="F22" s="23"/>
      <c r="G22" s="23"/>
      <c r="H22" s="23"/>
      <c r="I22" s="23"/>
    </row>
    <row r="23" customFormat="false" ht="15" hidden="false" customHeight="true" outlineLevel="0" collapsed="false">
      <c r="A23" s="23"/>
      <c r="B23" s="24"/>
      <c r="C23" s="23"/>
      <c r="D23" s="23"/>
      <c r="E23" s="23"/>
      <c r="F23" s="23"/>
      <c r="G23" s="23"/>
      <c r="H23" s="23"/>
      <c r="I23" s="23"/>
    </row>
    <row r="24" customFormat="false" ht="15" hidden="false" customHeight="true" outlineLevel="0" collapsed="false">
      <c r="A24" s="23"/>
      <c r="B24" s="24"/>
      <c r="C24" s="23"/>
      <c r="D24" s="23"/>
      <c r="E24" s="23"/>
      <c r="F24" s="23"/>
      <c r="G24" s="23"/>
      <c r="H24" s="23"/>
      <c r="I24" s="23"/>
    </row>
    <row r="25" customFormat="false" ht="15" hidden="false" customHeight="true" outlineLevel="0" collapsed="false">
      <c r="A25" s="23"/>
      <c r="B25" s="24"/>
      <c r="C25" s="23"/>
      <c r="D25" s="23"/>
      <c r="E25" s="23"/>
      <c r="F25" s="23"/>
      <c r="G25" s="23"/>
      <c r="H25" s="23"/>
      <c r="I25" s="23"/>
    </row>
    <row r="26" customFormat="false" ht="15" hidden="false" customHeight="true" outlineLevel="0" collapsed="false">
      <c r="A26" s="23"/>
      <c r="B26" s="24"/>
      <c r="C26" s="23"/>
      <c r="D26" s="23"/>
      <c r="E26" s="23"/>
      <c r="F26" s="23"/>
      <c r="G26" s="23"/>
      <c r="H26" s="23"/>
      <c r="I26" s="23"/>
    </row>
    <row r="27" customFormat="false" ht="15" hidden="false" customHeight="true" outlineLevel="0" collapsed="false">
      <c r="A27" s="23"/>
      <c r="B27" s="24"/>
      <c r="C27" s="23"/>
      <c r="D27" s="23"/>
      <c r="E27" s="23"/>
      <c r="F27" s="23"/>
      <c r="G27" s="23"/>
      <c r="H27" s="23"/>
      <c r="I27" s="23"/>
    </row>
    <row r="28" customFormat="false" ht="15" hidden="false" customHeight="true" outlineLevel="0" collapsed="false">
      <c r="A28" s="23"/>
      <c r="B28" s="24"/>
      <c r="C28" s="23"/>
      <c r="D28" s="23"/>
      <c r="E28" s="23"/>
      <c r="F28" s="23"/>
      <c r="G28" s="23"/>
      <c r="H28" s="23"/>
      <c r="I28" s="23"/>
    </row>
    <row r="29" customFormat="false" ht="15" hidden="false" customHeight="true" outlineLevel="0" collapsed="false">
      <c r="A29" s="23"/>
      <c r="B29" s="24"/>
      <c r="C29" s="23"/>
      <c r="D29" s="23"/>
      <c r="E29" s="23"/>
      <c r="F29" s="23"/>
      <c r="G29" s="23"/>
      <c r="H29" s="23"/>
      <c r="I29" s="23"/>
    </row>
    <row r="30" customFormat="false" ht="15" hidden="false" customHeight="true" outlineLevel="0" collapsed="false">
      <c r="A30" s="23"/>
      <c r="B30" s="24"/>
      <c r="C30" s="23"/>
      <c r="D30" s="23"/>
      <c r="E30" s="23"/>
      <c r="F30" s="23"/>
      <c r="G30" s="23"/>
      <c r="H30" s="23"/>
      <c r="I30" s="23"/>
    </row>
    <row r="31" customFormat="false" ht="15" hidden="false" customHeight="true" outlineLevel="0" collapsed="false">
      <c r="A31" s="23"/>
      <c r="B31" s="24"/>
      <c r="C31" s="23"/>
      <c r="D31" s="23"/>
      <c r="E31" s="23"/>
      <c r="F31" s="23"/>
      <c r="G31" s="23"/>
      <c r="H31" s="23"/>
      <c r="I31" s="23"/>
    </row>
    <row r="32" customFormat="false" ht="15" hidden="false" customHeight="true" outlineLevel="0" collapsed="false">
      <c r="A32" s="23"/>
      <c r="B32" s="24"/>
      <c r="C32" s="23"/>
      <c r="D32" s="23"/>
      <c r="E32" s="23"/>
      <c r="F32" s="23"/>
      <c r="G32" s="23"/>
      <c r="H32" s="23"/>
      <c r="I32" s="23"/>
    </row>
    <row r="33" customFormat="false" ht="15" hidden="false" customHeight="true" outlineLevel="0" collapsed="false">
      <c r="A33" s="23"/>
      <c r="B33" s="24"/>
      <c r="C33" s="23"/>
      <c r="D33" s="23"/>
      <c r="E33" s="23"/>
      <c r="F33" s="23"/>
      <c r="G33" s="23"/>
      <c r="H33" s="23"/>
      <c r="I33" s="23"/>
    </row>
    <row r="34" customFormat="false" ht="15" hidden="false" customHeight="true" outlineLevel="0" collapsed="false">
      <c r="A34" s="23"/>
      <c r="B34" s="24"/>
      <c r="C34" s="23"/>
      <c r="D34" s="23"/>
      <c r="E34" s="23"/>
      <c r="F34" s="23"/>
      <c r="G34" s="23"/>
      <c r="H34" s="23"/>
      <c r="I34" s="23"/>
    </row>
    <row r="35" customFormat="false" ht="15" hidden="false" customHeight="true" outlineLevel="0" collapsed="false">
      <c r="A35" s="23"/>
      <c r="B35" s="24"/>
      <c r="C35" s="23"/>
      <c r="D35" s="23"/>
      <c r="E35" s="23"/>
      <c r="F35" s="23"/>
      <c r="G35" s="23"/>
      <c r="H35" s="23"/>
      <c r="I35" s="23"/>
    </row>
    <row r="36" customFormat="false" ht="15" hidden="false" customHeight="true" outlineLevel="0" collapsed="false">
      <c r="A36" s="23"/>
      <c r="B36" s="24"/>
      <c r="C36" s="23"/>
      <c r="D36" s="23"/>
      <c r="E36" s="23"/>
      <c r="F36" s="23"/>
      <c r="G36" s="23"/>
      <c r="H36" s="23"/>
      <c r="I36" s="23"/>
    </row>
    <row r="37" customFormat="false" ht="15" hidden="false" customHeight="true" outlineLevel="0" collapsed="false">
      <c r="A37" s="23"/>
      <c r="B37" s="24"/>
      <c r="C37" s="23"/>
      <c r="D37" s="23"/>
      <c r="E37" s="23"/>
      <c r="F37" s="23"/>
      <c r="G37" s="23"/>
      <c r="H37" s="23"/>
      <c r="I37" s="23"/>
    </row>
    <row r="38" customFormat="false" ht="15" hidden="false" customHeight="true" outlineLevel="0" collapsed="false">
      <c r="A38" s="23"/>
      <c r="B38" s="24"/>
      <c r="C38" s="23"/>
      <c r="D38" s="23"/>
      <c r="E38" s="23"/>
      <c r="F38" s="23"/>
      <c r="G38" s="23"/>
      <c r="H38" s="23"/>
      <c r="I38" s="23"/>
    </row>
    <row r="39" customFormat="false" ht="15" hidden="false" customHeight="true" outlineLevel="0" collapsed="false">
      <c r="A39" s="23"/>
      <c r="B39" s="24"/>
      <c r="C39" s="23"/>
      <c r="D39" s="23"/>
      <c r="E39" s="23"/>
      <c r="F39" s="23"/>
      <c r="G39" s="23"/>
      <c r="H39" s="23"/>
      <c r="I39" s="23"/>
    </row>
    <row r="40" customFormat="false" ht="15" hidden="false" customHeight="true" outlineLevel="0" collapsed="false">
      <c r="A40" s="23"/>
      <c r="B40" s="24"/>
      <c r="C40" s="23"/>
      <c r="D40" s="23"/>
      <c r="E40" s="23"/>
      <c r="F40" s="23"/>
      <c r="G40" s="23"/>
      <c r="H40" s="23"/>
      <c r="I40" s="23"/>
    </row>
    <row r="41" customFormat="false" ht="15" hidden="false" customHeight="true" outlineLevel="0" collapsed="false">
      <c r="A41" s="23"/>
      <c r="B41" s="24"/>
      <c r="C41" s="23"/>
      <c r="D41" s="23"/>
      <c r="E41" s="23"/>
      <c r="F41" s="23"/>
      <c r="G41" s="23"/>
      <c r="H41" s="23"/>
      <c r="I41" s="23"/>
    </row>
    <row r="42" customFormat="false" ht="15" hidden="false" customHeight="true" outlineLevel="0" collapsed="false">
      <c r="A42" s="23"/>
      <c r="B42" s="24"/>
      <c r="C42" s="23"/>
      <c r="D42" s="23"/>
      <c r="E42" s="23"/>
      <c r="F42" s="23"/>
      <c r="G42" s="23"/>
      <c r="H42" s="23"/>
      <c r="I42" s="23"/>
    </row>
    <row r="43" customFormat="false" ht="15" hidden="false" customHeight="true" outlineLevel="0" collapsed="false">
      <c r="A43" s="23"/>
      <c r="B43" s="24"/>
      <c r="C43" s="23"/>
      <c r="D43" s="23"/>
      <c r="E43" s="23"/>
      <c r="F43" s="23"/>
      <c r="G43" s="23"/>
      <c r="H43" s="23"/>
      <c r="I43" s="23"/>
    </row>
    <row r="44" customFormat="false" ht="15" hidden="false" customHeight="true" outlineLevel="0" collapsed="false">
      <c r="A44" s="23"/>
      <c r="B44" s="24"/>
      <c r="C44" s="23"/>
      <c r="D44" s="23"/>
      <c r="E44" s="23"/>
      <c r="F44" s="23"/>
      <c r="G44" s="23"/>
      <c r="H44" s="23"/>
      <c r="I44" s="23"/>
    </row>
    <row r="45" customFormat="false" ht="15" hidden="false" customHeight="true" outlineLevel="0" collapsed="false">
      <c r="A45" s="23"/>
      <c r="B45" s="24"/>
      <c r="C45" s="23"/>
      <c r="D45" s="23"/>
      <c r="E45" s="23"/>
      <c r="F45" s="23"/>
      <c r="G45" s="23"/>
      <c r="H45" s="23"/>
      <c r="I45" s="23"/>
    </row>
    <row r="46" customFormat="false" ht="15" hidden="false" customHeight="true" outlineLevel="0" collapsed="false">
      <c r="A46" s="23"/>
      <c r="B46" s="24"/>
      <c r="C46" s="23"/>
      <c r="D46" s="23"/>
      <c r="E46" s="23"/>
      <c r="F46" s="23"/>
      <c r="G46" s="23"/>
      <c r="H46" s="23"/>
      <c r="I46" s="23"/>
    </row>
    <row r="47" customFormat="false" ht="15" hidden="false" customHeight="true" outlineLevel="0" collapsed="false">
      <c r="A47" s="23"/>
      <c r="B47" s="24"/>
      <c r="C47" s="23"/>
      <c r="D47" s="23"/>
      <c r="E47" s="23"/>
      <c r="F47" s="23"/>
      <c r="G47" s="23"/>
      <c r="H47" s="23"/>
      <c r="I47" s="23"/>
    </row>
    <row r="48" customFormat="false" ht="15" hidden="false" customHeight="true" outlineLevel="0" collapsed="false">
      <c r="A48" s="23"/>
      <c r="B48" s="24"/>
      <c r="C48" s="23"/>
      <c r="D48" s="23"/>
      <c r="E48" s="23"/>
      <c r="F48" s="23"/>
      <c r="G48" s="23"/>
      <c r="H48" s="23"/>
      <c r="I48" s="23"/>
    </row>
    <row r="49" customFormat="false" ht="15" hidden="false" customHeight="true" outlineLevel="0" collapsed="false">
      <c r="A49" s="23"/>
      <c r="B49" s="24"/>
      <c r="C49" s="23"/>
      <c r="D49" s="23"/>
      <c r="E49" s="23"/>
      <c r="F49" s="23"/>
      <c r="G49" s="23"/>
      <c r="H49" s="23"/>
      <c r="I49" s="23"/>
    </row>
    <row r="50" customFormat="false" ht="15" hidden="false" customHeight="true" outlineLevel="0" collapsed="false">
      <c r="A50" s="23"/>
      <c r="B50" s="24"/>
      <c r="C50" s="23"/>
      <c r="D50" s="23"/>
      <c r="E50" s="23"/>
      <c r="F50" s="23"/>
      <c r="G50" s="23"/>
      <c r="H50" s="23"/>
      <c r="I50" s="23"/>
    </row>
    <row r="51" customFormat="false" ht="15" hidden="false" customHeight="true" outlineLevel="0" collapsed="false">
      <c r="A51" s="23"/>
      <c r="B51" s="24"/>
      <c r="C51" s="23"/>
      <c r="D51" s="23"/>
      <c r="E51" s="23"/>
      <c r="F51" s="23"/>
      <c r="G51" s="23"/>
      <c r="H51" s="23"/>
      <c r="I51" s="23"/>
    </row>
    <row r="52" customFormat="false" ht="15" hidden="false" customHeight="true" outlineLevel="0" collapsed="false">
      <c r="A52" s="23"/>
      <c r="B52" s="24"/>
      <c r="C52" s="23"/>
      <c r="D52" s="23"/>
      <c r="E52" s="23"/>
      <c r="F52" s="23"/>
      <c r="G52" s="23"/>
      <c r="H52" s="23"/>
      <c r="I52" s="23"/>
    </row>
    <row r="53" customFormat="false" ht="15" hidden="false" customHeight="true" outlineLevel="0" collapsed="false">
      <c r="A53" s="23"/>
      <c r="B53" s="24"/>
      <c r="C53" s="23"/>
      <c r="D53" s="23"/>
      <c r="E53" s="23"/>
      <c r="F53" s="23"/>
      <c r="G53" s="23"/>
      <c r="H53" s="23"/>
      <c r="I53" s="23"/>
    </row>
    <row r="54" customFormat="false" ht="15" hidden="false" customHeight="true" outlineLevel="0" collapsed="false">
      <c r="A54" s="23"/>
      <c r="B54" s="24"/>
      <c r="C54" s="23"/>
      <c r="D54" s="23"/>
      <c r="E54" s="23"/>
      <c r="F54" s="23"/>
      <c r="G54" s="23"/>
      <c r="H54" s="23"/>
      <c r="I54" s="23"/>
    </row>
    <row r="55" customFormat="false" ht="15" hidden="false" customHeight="true" outlineLevel="0" collapsed="false">
      <c r="A55" s="23"/>
      <c r="B55" s="24"/>
      <c r="C55" s="23"/>
      <c r="D55" s="23"/>
      <c r="E55" s="23"/>
      <c r="F55" s="23"/>
      <c r="G55" s="23"/>
      <c r="H55" s="23"/>
      <c r="I55" s="23"/>
    </row>
    <row r="56" customFormat="false" ht="15" hidden="false" customHeight="true" outlineLevel="0" collapsed="false">
      <c r="A56" s="23"/>
      <c r="B56" s="24"/>
      <c r="C56" s="23"/>
      <c r="D56" s="23"/>
      <c r="E56" s="23"/>
      <c r="F56" s="23"/>
      <c r="G56" s="23"/>
      <c r="H56" s="23"/>
      <c r="I56" s="23"/>
    </row>
    <row r="57" customFormat="false" ht="15" hidden="false" customHeight="true" outlineLevel="0" collapsed="false">
      <c r="A57" s="23"/>
      <c r="B57" s="24"/>
      <c r="C57" s="23"/>
      <c r="D57" s="23"/>
      <c r="E57" s="23"/>
      <c r="F57" s="23"/>
      <c r="G57" s="23"/>
      <c r="H57" s="23"/>
      <c r="I57" s="23"/>
    </row>
    <row r="58" customFormat="false" ht="15" hidden="false" customHeight="true" outlineLevel="0" collapsed="false">
      <c r="A58" s="23"/>
      <c r="B58" s="24"/>
      <c r="C58" s="23"/>
      <c r="D58" s="23"/>
      <c r="E58" s="23"/>
      <c r="F58" s="23"/>
      <c r="G58" s="23"/>
      <c r="H58" s="23"/>
      <c r="I58" s="23"/>
    </row>
    <row r="59" customFormat="false" ht="15" hidden="false" customHeight="true" outlineLevel="0" collapsed="false">
      <c r="A59" s="23"/>
      <c r="B59" s="24"/>
      <c r="C59" s="23"/>
      <c r="D59" s="23"/>
      <c r="E59" s="23"/>
      <c r="F59" s="23"/>
      <c r="G59" s="23"/>
      <c r="H59" s="23"/>
      <c r="I59" s="23"/>
    </row>
    <row r="60" customFormat="false" ht="15" hidden="false" customHeight="true" outlineLevel="0" collapsed="false">
      <c r="A60" s="23"/>
      <c r="B60" s="24"/>
      <c r="C60" s="23"/>
      <c r="D60" s="23"/>
      <c r="E60" s="23"/>
      <c r="F60" s="23"/>
      <c r="G60" s="23"/>
      <c r="H60" s="23"/>
      <c r="I60" s="23"/>
    </row>
    <row r="61" customFormat="false" ht="15" hidden="false" customHeight="true" outlineLevel="0" collapsed="false">
      <c r="A61" s="23"/>
      <c r="B61" s="24"/>
      <c r="C61" s="23"/>
      <c r="D61" s="23"/>
      <c r="E61" s="23"/>
      <c r="F61" s="23"/>
      <c r="G61" s="23"/>
      <c r="H61" s="23"/>
      <c r="I61" s="23"/>
    </row>
    <row r="62" customFormat="false" ht="15" hidden="false" customHeight="true" outlineLevel="0" collapsed="false">
      <c r="A62" s="23"/>
      <c r="B62" s="24"/>
      <c r="C62" s="23"/>
      <c r="D62" s="23"/>
      <c r="E62" s="23"/>
      <c r="F62" s="23"/>
      <c r="G62" s="23"/>
      <c r="H62" s="23"/>
      <c r="I62" s="23"/>
    </row>
    <row r="63" customFormat="false" ht="15" hidden="false" customHeight="true" outlineLevel="0" collapsed="false">
      <c r="A63" s="23"/>
      <c r="B63" s="24"/>
      <c r="C63" s="23"/>
      <c r="D63" s="23"/>
      <c r="E63" s="23"/>
      <c r="F63" s="23"/>
      <c r="G63" s="23"/>
      <c r="H63" s="23"/>
      <c r="I63" s="23"/>
    </row>
    <row r="64" customFormat="false" ht="15" hidden="false" customHeight="true" outlineLevel="0" collapsed="false">
      <c r="A64" s="23"/>
      <c r="B64" s="24"/>
      <c r="C64" s="23"/>
      <c r="D64" s="23"/>
      <c r="E64" s="23"/>
      <c r="F64" s="23"/>
      <c r="G64" s="23"/>
      <c r="H64" s="23"/>
      <c r="I64" s="23"/>
    </row>
    <row r="65" customFormat="false" ht="15" hidden="false" customHeight="true" outlineLevel="0" collapsed="false">
      <c r="A65" s="23"/>
      <c r="B65" s="24"/>
      <c r="C65" s="23"/>
      <c r="D65" s="23"/>
      <c r="E65" s="23"/>
      <c r="F65" s="23"/>
      <c r="G65" s="23"/>
      <c r="H65" s="23"/>
      <c r="I65" s="23"/>
    </row>
    <row r="66" customFormat="false" ht="15" hidden="false" customHeight="true" outlineLevel="0" collapsed="false">
      <c r="A66" s="23"/>
      <c r="B66" s="24"/>
      <c r="C66" s="23"/>
      <c r="D66" s="23"/>
      <c r="E66" s="23"/>
      <c r="F66" s="23"/>
      <c r="G66" s="23"/>
      <c r="H66" s="23"/>
      <c r="I66" s="23"/>
    </row>
    <row r="67" customFormat="false" ht="15" hidden="false" customHeight="true" outlineLevel="0" collapsed="false">
      <c r="A67" s="23"/>
      <c r="B67" s="24"/>
      <c r="C67" s="23"/>
      <c r="D67" s="23"/>
      <c r="E67" s="23"/>
      <c r="F67" s="23"/>
      <c r="G67" s="23"/>
      <c r="H67" s="23"/>
      <c r="I67" s="23"/>
    </row>
    <row r="68" customFormat="false" ht="15" hidden="false" customHeight="true" outlineLevel="0" collapsed="false">
      <c r="A68" s="23"/>
      <c r="B68" s="24"/>
      <c r="C68" s="23"/>
      <c r="D68" s="23"/>
      <c r="E68" s="23"/>
      <c r="F68" s="23"/>
      <c r="G68" s="23"/>
      <c r="H68" s="23"/>
      <c r="I68" s="23"/>
    </row>
    <row r="69" customFormat="false" ht="15" hidden="false" customHeight="true" outlineLevel="0" collapsed="false">
      <c r="A69" s="23"/>
      <c r="B69" s="24"/>
      <c r="C69" s="23"/>
      <c r="D69" s="23"/>
      <c r="E69" s="23"/>
      <c r="F69" s="23"/>
      <c r="G69" s="23"/>
      <c r="H69" s="23"/>
      <c r="I69" s="23"/>
    </row>
    <row r="70" customFormat="false" ht="15" hidden="false" customHeight="true" outlineLevel="0" collapsed="false">
      <c r="A70" s="23"/>
      <c r="B70" s="24"/>
      <c r="C70" s="23"/>
      <c r="D70" s="23"/>
      <c r="E70" s="23"/>
      <c r="F70" s="23"/>
      <c r="G70" s="23"/>
      <c r="H70" s="23"/>
      <c r="I70" s="23"/>
    </row>
    <row r="71" customFormat="false" ht="15" hidden="false" customHeight="true" outlineLevel="0" collapsed="false">
      <c r="A71" s="23"/>
      <c r="B71" s="24"/>
      <c r="C71" s="23"/>
      <c r="D71" s="23"/>
      <c r="E71" s="23"/>
      <c r="F71" s="23"/>
      <c r="G71" s="23"/>
      <c r="H71" s="23"/>
      <c r="I71" s="23"/>
    </row>
    <row r="72" customFormat="false" ht="15" hidden="false" customHeight="true" outlineLevel="0" collapsed="false">
      <c r="A72" s="23"/>
      <c r="B72" s="24"/>
      <c r="C72" s="23"/>
      <c r="D72" s="23"/>
      <c r="E72" s="23"/>
      <c r="F72" s="23"/>
      <c r="G72" s="23"/>
      <c r="H72" s="23"/>
      <c r="I72" s="23"/>
    </row>
    <row r="73" customFormat="false" ht="15" hidden="false" customHeight="true" outlineLevel="0" collapsed="false">
      <c r="A73" s="23"/>
      <c r="B73" s="24"/>
      <c r="C73" s="23"/>
      <c r="D73" s="23"/>
      <c r="E73" s="23"/>
      <c r="F73" s="23"/>
      <c r="G73" s="23"/>
      <c r="H73" s="23"/>
      <c r="I73" s="23"/>
    </row>
    <row r="74" customFormat="false" ht="15" hidden="false" customHeight="true" outlineLevel="0" collapsed="false">
      <c r="A74" s="23"/>
      <c r="B74" s="24"/>
      <c r="C74" s="23"/>
      <c r="D74" s="23"/>
      <c r="E74" s="23"/>
      <c r="F74" s="23"/>
      <c r="G74" s="23"/>
      <c r="H74" s="23"/>
      <c r="I74" s="23"/>
    </row>
    <row r="75" customFormat="false" ht="15" hidden="false" customHeight="true" outlineLevel="0" collapsed="false">
      <c r="A75" s="23"/>
      <c r="B75" s="24"/>
      <c r="C75" s="23"/>
      <c r="D75" s="23"/>
      <c r="E75" s="23"/>
      <c r="F75" s="23"/>
      <c r="G75" s="23"/>
      <c r="H75" s="23"/>
      <c r="I75" s="23"/>
    </row>
    <row r="76" customFormat="false" ht="15" hidden="false" customHeight="true" outlineLevel="0" collapsed="false">
      <c r="A76" s="23"/>
      <c r="B76" s="24"/>
      <c r="C76" s="23"/>
      <c r="D76" s="23"/>
      <c r="E76" s="23"/>
      <c r="F76" s="23"/>
      <c r="G76" s="23"/>
      <c r="H76" s="23"/>
      <c r="I76" s="23"/>
    </row>
    <row r="77" customFormat="false" ht="15" hidden="false" customHeight="true" outlineLevel="0" collapsed="false">
      <c r="A77" s="23"/>
      <c r="B77" s="24"/>
      <c r="C77" s="23"/>
      <c r="D77" s="23"/>
      <c r="E77" s="23"/>
      <c r="F77" s="23"/>
      <c r="G77" s="23"/>
      <c r="H77" s="23"/>
      <c r="I77" s="23"/>
    </row>
    <row r="78" customFormat="false" ht="15" hidden="false" customHeight="true" outlineLevel="0" collapsed="false">
      <c r="A78" s="23"/>
      <c r="B78" s="24"/>
      <c r="C78" s="23"/>
      <c r="D78" s="23"/>
      <c r="E78" s="23"/>
      <c r="F78" s="23"/>
      <c r="G78" s="23"/>
      <c r="H78" s="23"/>
      <c r="I78" s="23"/>
    </row>
    <row r="79" customFormat="false" ht="15" hidden="false" customHeight="true" outlineLevel="0" collapsed="false">
      <c r="A79" s="23"/>
      <c r="B79" s="24"/>
      <c r="C79" s="23"/>
      <c r="D79" s="23"/>
      <c r="E79" s="23"/>
      <c r="F79" s="23"/>
      <c r="G79" s="23"/>
      <c r="H79" s="23"/>
      <c r="I79" s="23"/>
    </row>
    <row r="80" customFormat="false" ht="15" hidden="false" customHeight="true" outlineLevel="0" collapsed="false">
      <c r="A80" s="23"/>
      <c r="B80" s="24"/>
      <c r="C80" s="23"/>
      <c r="D80" s="23"/>
      <c r="E80" s="23"/>
      <c r="F80" s="23"/>
      <c r="G80" s="23"/>
      <c r="H80" s="23"/>
      <c r="I80" s="23"/>
    </row>
    <row r="81" customFormat="false" ht="15" hidden="false" customHeight="true" outlineLevel="0" collapsed="false">
      <c r="A81" s="23"/>
      <c r="B81" s="24"/>
      <c r="C81" s="23"/>
      <c r="D81" s="23"/>
      <c r="E81" s="23"/>
      <c r="F81" s="23"/>
      <c r="G81" s="23"/>
      <c r="H81" s="23"/>
      <c r="I81" s="23"/>
    </row>
    <row r="82" customFormat="false" ht="15" hidden="false" customHeight="true" outlineLevel="0" collapsed="false">
      <c r="A82" s="23"/>
      <c r="B82" s="24"/>
      <c r="C82" s="23"/>
      <c r="D82" s="23"/>
      <c r="E82" s="23"/>
      <c r="F82" s="23"/>
      <c r="G82" s="23"/>
      <c r="H82" s="23"/>
      <c r="I82" s="23"/>
    </row>
    <row r="83" customFormat="false" ht="15" hidden="false" customHeight="true" outlineLevel="0" collapsed="false">
      <c r="A83" s="23"/>
      <c r="B83" s="24"/>
      <c r="C83" s="23"/>
      <c r="D83" s="23"/>
      <c r="E83" s="23"/>
      <c r="F83" s="23"/>
      <c r="G83" s="23"/>
      <c r="H83" s="23"/>
      <c r="I83" s="23"/>
    </row>
    <row r="84" customFormat="false" ht="15" hidden="false" customHeight="true" outlineLevel="0" collapsed="false">
      <c r="A84" s="23"/>
      <c r="B84" s="24"/>
      <c r="C84" s="23"/>
      <c r="D84" s="23"/>
      <c r="E84" s="23"/>
      <c r="F84" s="23"/>
      <c r="G84" s="23"/>
      <c r="H84" s="23"/>
      <c r="I84" s="23"/>
    </row>
    <row r="85" customFormat="false" ht="15" hidden="false" customHeight="true" outlineLevel="0" collapsed="false">
      <c r="A85" s="23"/>
      <c r="B85" s="24"/>
      <c r="C85" s="23"/>
      <c r="D85" s="23"/>
      <c r="E85" s="23"/>
      <c r="F85" s="23"/>
      <c r="G85" s="23"/>
      <c r="H85" s="23"/>
      <c r="I85" s="23"/>
    </row>
    <row r="86" customFormat="false" ht="15" hidden="false" customHeight="true" outlineLevel="0" collapsed="false">
      <c r="A86" s="23"/>
      <c r="B86" s="24"/>
      <c r="C86" s="23"/>
      <c r="D86" s="23"/>
      <c r="E86" s="23"/>
      <c r="F86" s="23"/>
      <c r="G86" s="23"/>
      <c r="H86" s="23"/>
      <c r="I86" s="23"/>
    </row>
    <row r="87" customFormat="false" ht="15" hidden="false" customHeight="true" outlineLevel="0" collapsed="false">
      <c r="A87" s="23"/>
      <c r="B87" s="24"/>
      <c r="C87" s="23"/>
      <c r="D87" s="23"/>
      <c r="E87" s="23"/>
      <c r="F87" s="23"/>
      <c r="G87" s="23"/>
      <c r="H87" s="23"/>
      <c r="I87" s="23"/>
    </row>
    <row r="88" customFormat="false" ht="15" hidden="false" customHeight="true" outlineLevel="0" collapsed="false">
      <c r="A88" s="23"/>
      <c r="B88" s="24"/>
      <c r="C88" s="23"/>
      <c r="D88" s="23"/>
      <c r="E88" s="23"/>
      <c r="F88" s="23"/>
      <c r="G88" s="23"/>
      <c r="H88" s="23"/>
      <c r="I88" s="23"/>
    </row>
    <row r="89" customFormat="false" ht="15" hidden="false" customHeight="true" outlineLevel="0" collapsed="false">
      <c r="A89" s="23"/>
      <c r="B89" s="24"/>
      <c r="C89" s="23"/>
      <c r="D89" s="23"/>
      <c r="E89" s="23"/>
      <c r="F89" s="23"/>
      <c r="G89" s="23"/>
      <c r="H89" s="23"/>
      <c r="I89" s="23"/>
    </row>
    <row r="90" customFormat="false" ht="15" hidden="false" customHeight="true" outlineLevel="0" collapsed="false">
      <c r="A90" s="23"/>
      <c r="B90" s="24"/>
      <c r="C90" s="23"/>
      <c r="D90" s="23"/>
      <c r="E90" s="23"/>
      <c r="F90" s="23"/>
      <c r="G90" s="23"/>
      <c r="H90" s="23"/>
      <c r="I90" s="23"/>
    </row>
    <row r="91" customFormat="false" ht="15" hidden="false" customHeight="true" outlineLevel="0" collapsed="false">
      <c r="A91" s="23"/>
      <c r="B91" s="24"/>
      <c r="C91" s="23"/>
      <c r="D91" s="23"/>
      <c r="E91" s="23"/>
      <c r="F91" s="23"/>
      <c r="G91" s="23"/>
      <c r="H91" s="23"/>
      <c r="I91" s="23"/>
    </row>
    <row r="92" customFormat="false" ht="15" hidden="false" customHeight="true" outlineLevel="0" collapsed="false">
      <c r="A92" s="23"/>
      <c r="B92" s="24"/>
      <c r="C92" s="23"/>
      <c r="D92" s="23"/>
      <c r="E92" s="23"/>
      <c r="F92" s="23"/>
      <c r="G92" s="23"/>
      <c r="H92" s="23"/>
      <c r="I92" s="23"/>
    </row>
    <row r="93" customFormat="false" ht="15" hidden="false" customHeight="true" outlineLevel="0" collapsed="false">
      <c r="A93" s="23"/>
      <c r="B93" s="24"/>
      <c r="C93" s="23"/>
      <c r="D93" s="23"/>
      <c r="E93" s="23"/>
      <c r="F93" s="23"/>
      <c r="G93" s="23"/>
      <c r="H93" s="23"/>
      <c r="I93" s="23"/>
    </row>
    <row r="94" customFormat="false" ht="15" hidden="false" customHeight="true" outlineLevel="0" collapsed="false">
      <c r="A94" s="23"/>
      <c r="B94" s="24"/>
      <c r="C94" s="23"/>
      <c r="D94" s="23"/>
      <c r="E94" s="23"/>
      <c r="F94" s="23"/>
      <c r="G94" s="23"/>
      <c r="H94" s="23"/>
      <c r="I94" s="23"/>
    </row>
    <row r="95" customFormat="false" ht="15" hidden="false" customHeight="true" outlineLevel="0" collapsed="false">
      <c r="A95" s="23"/>
      <c r="B95" s="24"/>
      <c r="C95" s="23"/>
      <c r="D95" s="23"/>
      <c r="E95" s="23"/>
      <c r="F95" s="23"/>
      <c r="G95" s="23"/>
      <c r="H95" s="23"/>
      <c r="I95" s="23"/>
    </row>
    <row r="96" customFormat="false" ht="15" hidden="false" customHeight="true" outlineLevel="0" collapsed="false">
      <c r="A96" s="23"/>
      <c r="B96" s="24"/>
      <c r="C96" s="23"/>
      <c r="D96" s="23"/>
      <c r="E96" s="23"/>
      <c r="F96" s="23"/>
      <c r="G96" s="23"/>
      <c r="H96" s="23"/>
      <c r="I96" s="23"/>
    </row>
    <row r="97" customFormat="false" ht="15" hidden="false" customHeight="true" outlineLevel="0" collapsed="false">
      <c r="A97" s="23"/>
      <c r="B97" s="24"/>
      <c r="C97" s="23"/>
      <c r="D97" s="23"/>
      <c r="E97" s="23"/>
      <c r="F97" s="23"/>
      <c r="G97" s="23"/>
      <c r="H97" s="23"/>
      <c r="I97" s="23"/>
    </row>
    <row r="98" customFormat="false" ht="15" hidden="false" customHeight="true" outlineLevel="0" collapsed="false">
      <c r="A98" s="23"/>
      <c r="B98" s="24"/>
      <c r="C98" s="23"/>
      <c r="D98" s="23"/>
      <c r="E98" s="23"/>
      <c r="F98" s="23"/>
      <c r="G98" s="23"/>
      <c r="H98" s="23"/>
      <c r="I98" s="23"/>
    </row>
    <row r="99" customFormat="false" ht="15" hidden="false" customHeight="true" outlineLevel="0" collapsed="false">
      <c r="A99" s="23"/>
      <c r="B99" s="24"/>
      <c r="C99" s="23"/>
      <c r="D99" s="23"/>
      <c r="E99" s="23"/>
      <c r="F99" s="23"/>
      <c r="G99" s="23"/>
      <c r="H99" s="23"/>
      <c r="I99" s="23"/>
    </row>
    <row r="100" customFormat="false" ht="15" hidden="false" customHeight="true" outlineLevel="0" collapsed="false">
      <c r="A100" s="23"/>
      <c r="B100" s="24"/>
      <c r="C100" s="23"/>
      <c r="D100" s="23"/>
      <c r="E100" s="23"/>
      <c r="F100" s="23"/>
      <c r="G100" s="23"/>
      <c r="H100" s="23"/>
      <c r="I100" s="23"/>
    </row>
    <row r="101" customFormat="false" ht="15" hidden="false" customHeight="true" outlineLevel="0" collapsed="false">
      <c r="A101" s="23"/>
      <c r="B101" s="24"/>
      <c r="C101" s="23"/>
      <c r="D101" s="23"/>
      <c r="E101" s="23"/>
      <c r="F101" s="23"/>
      <c r="G101" s="23"/>
      <c r="H101" s="23"/>
      <c r="I101" s="23"/>
    </row>
    <row r="102" customFormat="false" ht="15" hidden="false" customHeight="true" outlineLevel="0" collapsed="false">
      <c r="A102" s="23"/>
      <c r="B102" s="24"/>
      <c r="C102" s="23"/>
      <c r="D102" s="23"/>
      <c r="E102" s="23"/>
      <c r="F102" s="23"/>
      <c r="G102" s="23"/>
      <c r="H102" s="23"/>
      <c r="I102" s="23"/>
    </row>
    <row r="103" customFormat="false" ht="15" hidden="false" customHeight="true" outlineLevel="0" collapsed="false">
      <c r="A103" s="23"/>
      <c r="B103" s="24"/>
      <c r="C103" s="23"/>
      <c r="D103" s="23"/>
      <c r="E103" s="23"/>
      <c r="F103" s="23"/>
      <c r="G103" s="23"/>
      <c r="H103" s="23"/>
      <c r="I103" s="23"/>
    </row>
    <row r="104" customFormat="false" ht="15" hidden="false" customHeight="true" outlineLevel="0" collapsed="false">
      <c r="A104" s="23"/>
      <c r="B104" s="24"/>
      <c r="C104" s="23"/>
      <c r="D104" s="23"/>
      <c r="E104" s="23"/>
      <c r="F104" s="23"/>
      <c r="G104" s="23"/>
      <c r="H104" s="23"/>
      <c r="I104" s="23"/>
    </row>
    <row r="105" customFormat="false" ht="15" hidden="false" customHeight="true" outlineLevel="0" collapsed="false">
      <c r="A105" s="23"/>
      <c r="B105" s="24"/>
      <c r="C105" s="23"/>
      <c r="D105" s="23"/>
      <c r="E105" s="23"/>
      <c r="F105" s="23"/>
      <c r="G105" s="23"/>
      <c r="H105" s="23"/>
      <c r="I105" s="23"/>
    </row>
    <row r="106" customFormat="false" ht="15" hidden="false" customHeight="true" outlineLevel="0" collapsed="false">
      <c r="A106" s="23"/>
      <c r="B106" s="24"/>
      <c r="C106" s="23"/>
      <c r="D106" s="23"/>
      <c r="E106" s="23"/>
      <c r="F106" s="23"/>
      <c r="G106" s="23"/>
      <c r="H106" s="23"/>
      <c r="I106" s="23"/>
    </row>
    <row r="107" customFormat="false" ht="15" hidden="false" customHeight="true" outlineLevel="0" collapsed="false">
      <c r="A107" s="23"/>
      <c r="B107" s="24"/>
      <c r="C107" s="23"/>
      <c r="D107" s="23"/>
      <c r="E107" s="23"/>
      <c r="F107" s="23"/>
      <c r="G107" s="23"/>
      <c r="H107" s="23"/>
      <c r="I107" s="23"/>
    </row>
    <row r="108" customFormat="false" ht="15" hidden="false" customHeight="true" outlineLevel="0" collapsed="false">
      <c r="A108" s="23"/>
      <c r="B108" s="24"/>
      <c r="C108" s="23"/>
      <c r="D108" s="23"/>
      <c r="E108" s="23"/>
      <c r="F108" s="23"/>
      <c r="G108" s="23"/>
      <c r="H108" s="23"/>
      <c r="I108" s="23"/>
    </row>
    <row r="109" customFormat="false" ht="15" hidden="false" customHeight="true" outlineLevel="0" collapsed="false">
      <c r="A109" s="23"/>
      <c r="B109" s="24"/>
      <c r="C109" s="23"/>
      <c r="D109" s="23"/>
      <c r="E109" s="23"/>
      <c r="F109" s="23"/>
      <c r="G109" s="23"/>
      <c r="H109" s="23"/>
      <c r="I109" s="23"/>
    </row>
    <row r="110" customFormat="false" ht="15" hidden="false" customHeight="true" outlineLevel="0" collapsed="false">
      <c r="A110" s="23"/>
      <c r="B110" s="24"/>
      <c r="C110" s="23"/>
      <c r="D110" s="23"/>
      <c r="E110" s="23"/>
      <c r="F110" s="23"/>
      <c r="G110" s="23"/>
      <c r="H110" s="23"/>
      <c r="I110" s="23"/>
    </row>
    <row r="111" customFormat="false" ht="15" hidden="false" customHeight="true" outlineLevel="0" collapsed="false">
      <c r="A111" s="23"/>
      <c r="B111" s="24"/>
      <c r="C111" s="23"/>
      <c r="D111" s="23"/>
      <c r="E111" s="23"/>
      <c r="F111" s="23"/>
      <c r="G111" s="23"/>
      <c r="H111" s="23"/>
      <c r="I111" s="23"/>
    </row>
    <row r="112" customFormat="false" ht="15" hidden="false" customHeight="true" outlineLevel="0" collapsed="false">
      <c r="A112" s="23"/>
      <c r="B112" s="24"/>
      <c r="C112" s="23"/>
      <c r="D112" s="23"/>
      <c r="E112" s="23"/>
      <c r="F112" s="23"/>
      <c r="G112" s="23"/>
      <c r="H112" s="23"/>
      <c r="I112" s="23"/>
    </row>
    <row r="113" customFormat="false" ht="15" hidden="false" customHeight="true" outlineLevel="0" collapsed="false">
      <c r="A113" s="23"/>
      <c r="B113" s="24"/>
      <c r="C113" s="23"/>
      <c r="D113" s="23"/>
      <c r="E113" s="23"/>
      <c r="F113" s="23"/>
      <c r="G113" s="23"/>
      <c r="H113" s="23"/>
      <c r="I113" s="23"/>
    </row>
    <row r="114" customFormat="false" ht="15" hidden="false" customHeight="true" outlineLevel="0" collapsed="false">
      <c r="A114" s="23"/>
      <c r="B114" s="24"/>
      <c r="C114" s="23"/>
      <c r="D114" s="23"/>
      <c r="E114" s="23"/>
      <c r="F114" s="23"/>
      <c r="G114" s="23"/>
      <c r="H114" s="23"/>
      <c r="I114" s="23"/>
    </row>
    <row r="115" customFormat="false" ht="15" hidden="false" customHeight="true" outlineLevel="0" collapsed="false">
      <c r="A115" s="23"/>
      <c r="B115" s="24"/>
      <c r="C115" s="23"/>
      <c r="D115" s="23"/>
      <c r="E115" s="23"/>
      <c r="F115" s="23"/>
      <c r="G115" s="23"/>
      <c r="H115" s="23"/>
      <c r="I115" s="23"/>
    </row>
    <row r="116" customFormat="false" ht="15" hidden="false" customHeight="true" outlineLevel="0" collapsed="false">
      <c r="A116" s="23"/>
      <c r="B116" s="24"/>
      <c r="C116" s="23"/>
      <c r="D116" s="23"/>
      <c r="E116" s="23"/>
      <c r="F116" s="23"/>
      <c r="G116" s="23"/>
      <c r="H116" s="23"/>
      <c r="I116" s="23"/>
    </row>
    <row r="117" customFormat="false" ht="15" hidden="false" customHeight="true" outlineLevel="0" collapsed="false">
      <c r="A117" s="23"/>
      <c r="B117" s="24"/>
      <c r="C117" s="23"/>
      <c r="D117" s="23"/>
      <c r="E117" s="23"/>
      <c r="F117" s="23"/>
      <c r="G117" s="23"/>
      <c r="H117" s="23"/>
      <c r="I117" s="23"/>
    </row>
    <row r="118" customFormat="false" ht="15" hidden="false" customHeight="true" outlineLevel="0" collapsed="false">
      <c r="A118" s="23"/>
      <c r="B118" s="24"/>
      <c r="C118" s="23"/>
      <c r="D118" s="23"/>
      <c r="E118" s="23"/>
      <c r="F118" s="23"/>
      <c r="G118" s="23"/>
      <c r="H118" s="23"/>
      <c r="I118" s="23"/>
    </row>
    <row r="119" customFormat="false" ht="15" hidden="false" customHeight="true" outlineLevel="0" collapsed="false">
      <c r="A119" s="23"/>
      <c r="B119" s="24"/>
      <c r="C119" s="23"/>
      <c r="D119" s="23"/>
      <c r="E119" s="23"/>
      <c r="F119" s="23"/>
      <c r="G119" s="23"/>
      <c r="H119" s="23"/>
      <c r="I119" s="23"/>
    </row>
    <row r="120" customFormat="false" ht="15" hidden="false" customHeight="true" outlineLevel="0" collapsed="false">
      <c r="A120" s="23"/>
      <c r="B120" s="24"/>
      <c r="C120" s="23"/>
      <c r="D120" s="23"/>
      <c r="E120" s="23"/>
      <c r="F120" s="23"/>
      <c r="G120" s="23"/>
      <c r="H120" s="23"/>
      <c r="I120" s="23"/>
    </row>
    <row r="121" customFormat="false" ht="15" hidden="false" customHeight="true" outlineLevel="0" collapsed="false">
      <c r="A121" s="23"/>
      <c r="B121" s="24"/>
      <c r="C121" s="23"/>
      <c r="D121" s="23"/>
      <c r="E121" s="23"/>
      <c r="F121" s="23"/>
      <c r="G121" s="23"/>
      <c r="H121" s="23"/>
      <c r="I121" s="23"/>
    </row>
    <row r="122" customFormat="false" ht="15" hidden="false" customHeight="true" outlineLevel="0" collapsed="false">
      <c r="A122" s="23"/>
      <c r="B122" s="24"/>
      <c r="C122" s="23"/>
      <c r="D122" s="23"/>
      <c r="E122" s="23"/>
      <c r="F122" s="23"/>
      <c r="G122" s="23"/>
      <c r="H122" s="23"/>
      <c r="I122" s="23"/>
    </row>
    <row r="123" customFormat="false" ht="15" hidden="false" customHeight="true" outlineLevel="0" collapsed="false">
      <c r="A123" s="23"/>
      <c r="B123" s="24"/>
      <c r="C123" s="23"/>
      <c r="D123" s="23"/>
      <c r="E123" s="23"/>
      <c r="F123" s="23"/>
      <c r="G123" s="23"/>
      <c r="H123" s="23"/>
      <c r="I123" s="23"/>
    </row>
    <row r="124" customFormat="false" ht="15" hidden="false" customHeight="true" outlineLevel="0" collapsed="false">
      <c r="A124" s="23"/>
      <c r="B124" s="24"/>
      <c r="C124" s="23"/>
      <c r="D124" s="23"/>
      <c r="E124" s="23"/>
      <c r="F124" s="23"/>
      <c r="G124" s="23"/>
      <c r="H124" s="23"/>
      <c r="I124" s="23"/>
    </row>
    <row r="125" customFormat="false" ht="15" hidden="false" customHeight="true" outlineLevel="0" collapsed="false">
      <c r="A125" s="23"/>
      <c r="B125" s="24"/>
      <c r="C125" s="23"/>
      <c r="D125" s="23"/>
      <c r="E125" s="23"/>
      <c r="F125" s="23"/>
      <c r="G125" s="23"/>
      <c r="H125" s="23"/>
      <c r="I125" s="23"/>
    </row>
    <row r="126" customFormat="false" ht="15" hidden="false" customHeight="true" outlineLevel="0" collapsed="false">
      <c r="A126" s="23"/>
      <c r="B126" s="24"/>
      <c r="C126" s="23"/>
      <c r="D126" s="23"/>
      <c r="E126" s="23"/>
      <c r="F126" s="23"/>
      <c r="G126" s="23"/>
      <c r="H126" s="23"/>
      <c r="I126" s="23"/>
    </row>
    <row r="127" customFormat="false" ht="15" hidden="false" customHeight="true" outlineLevel="0" collapsed="false">
      <c r="A127" s="23"/>
      <c r="B127" s="24"/>
      <c r="C127" s="23"/>
      <c r="D127" s="23"/>
      <c r="E127" s="23"/>
      <c r="F127" s="23"/>
      <c r="G127" s="23"/>
      <c r="H127" s="23"/>
      <c r="I127" s="23"/>
    </row>
    <row r="128" customFormat="false" ht="15" hidden="false" customHeight="true" outlineLevel="0" collapsed="false">
      <c r="A128" s="23"/>
      <c r="B128" s="24"/>
      <c r="C128" s="23"/>
      <c r="D128" s="23"/>
      <c r="E128" s="23"/>
      <c r="F128" s="23"/>
      <c r="G128" s="23"/>
      <c r="H128" s="23"/>
      <c r="I128" s="23"/>
    </row>
    <row r="129" customFormat="false" ht="15" hidden="false" customHeight="true" outlineLevel="0" collapsed="false">
      <c r="A129" s="23"/>
      <c r="B129" s="24"/>
      <c r="C129" s="23"/>
      <c r="D129" s="23"/>
      <c r="E129" s="23"/>
      <c r="F129" s="23"/>
      <c r="G129" s="23"/>
      <c r="H129" s="23"/>
      <c r="I129" s="23"/>
    </row>
    <row r="130" customFormat="false" ht="15" hidden="false" customHeight="true" outlineLevel="0" collapsed="false">
      <c r="A130" s="23"/>
      <c r="B130" s="24"/>
      <c r="C130" s="23"/>
      <c r="D130" s="23"/>
      <c r="E130" s="23"/>
      <c r="F130" s="23"/>
      <c r="G130" s="23"/>
      <c r="H130" s="23"/>
      <c r="I130" s="23"/>
    </row>
    <row r="131" customFormat="false" ht="15" hidden="false" customHeight="true" outlineLevel="0" collapsed="false">
      <c r="A131" s="23"/>
      <c r="B131" s="24"/>
      <c r="C131" s="23"/>
      <c r="D131" s="23"/>
      <c r="E131" s="23"/>
      <c r="F131" s="23"/>
      <c r="G131" s="23"/>
      <c r="H131" s="23"/>
      <c r="I131" s="23"/>
    </row>
    <row r="132" customFormat="false" ht="15" hidden="false" customHeight="true" outlineLevel="0" collapsed="false">
      <c r="A132" s="23"/>
      <c r="B132" s="24"/>
      <c r="C132" s="23"/>
      <c r="D132" s="23"/>
      <c r="E132" s="23"/>
      <c r="F132" s="23"/>
      <c r="G132" s="23"/>
      <c r="H132" s="23"/>
      <c r="I132" s="23"/>
    </row>
    <row r="133" customFormat="false" ht="15" hidden="false" customHeight="true" outlineLevel="0" collapsed="false">
      <c r="A133" s="23"/>
      <c r="B133" s="24"/>
      <c r="C133" s="23"/>
      <c r="D133" s="23"/>
      <c r="E133" s="23"/>
      <c r="F133" s="23"/>
      <c r="G133" s="23"/>
      <c r="H133" s="23"/>
      <c r="I133" s="23"/>
    </row>
    <row r="134" customFormat="false" ht="15" hidden="false" customHeight="true" outlineLevel="0" collapsed="false">
      <c r="A134" s="23"/>
      <c r="B134" s="24"/>
      <c r="C134" s="23"/>
      <c r="D134" s="23"/>
      <c r="E134" s="23"/>
      <c r="F134" s="23"/>
      <c r="G134" s="23"/>
      <c r="H134" s="23"/>
      <c r="I134" s="23"/>
    </row>
    <row r="135" customFormat="false" ht="15" hidden="false" customHeight="true" outlineLevel="0" collapsed="false">
      <c r="A135" s="23"/>
      <c r="B135" s="24"/>
      <c r="C135" s="23"/>
      <c r="D135" s="23"/>
      <c r="E135" s="23"/>
      <c r="F135" s="23"/>
      <c r="G135" s="23"/>
      <c r="H135" s="23"/>
      <c r="I135" s="23"/>
    </row>
    <row r="136" customFormat="false" ht="15" hidden="false" customHeight="true" outlineLevel="0" collapsed="false">
      <c r="A136" s="23"/>
      <c r="B136" s="24"/>
      <c r="C136" s="23"/>
      <c r="D136" s="23"/>
      <c r="E136" s="23"/>
      <c r="F136" s="23"/>
      <c r="G136" s="23"/>
      <c r="H136" s="23"/>
      <c r="I136" s="23"/>
    </row>
    <row r="137" customFormat="false" ht="15" hidden="false" customHeight="true" outlineLevel="0" collapsed="false">
      <c r="A137" s="23"/>
      <c r="B137" s="24"/>
      <c r="C137" s="23"/>
      <c r="D137" s="23"/>
      <c r="E137" s="23"/>
      <c r="F137" s="23"/>
      <c r="G137" s="23"/>
      <c r="H137" s="23"/>
      <c r="I137" s="23"/>
    </row>
    <row r="138" customFormat="false" ht="15" hidden="false" customHeight="true" outlineLevel="0" collapsed="false">
      <c r="A138" s="23"/>
      <c r="B138" s="24"/>
      <c r="C138" s="23"/>
      <c r="D138" s="23"/>
      <c r="E138" s="23"/>
      <c r="F138" s="23"/>
      <c r="G138" s="23"/>
      <c r="H138" s="23"/>
      <c r="I138" s="23"/>
    </row>
    <row r="139" customFormat="false" ht="15" hidden="false" customHeight="true" outlineLevel="0" collapsed="false">
      <c r="A139" s="23"/>
      <c r="B139" s="24"/>
      <c r="C139" s="23"/>
      <c r="D139" s="23"/>
      <c r="E139" s="23"/>
      <c r="F139" s="23"/>
      <c r="G139" s="23"/>
      <c r="H139" s="23"/>
      <c r="I139" s="23"/>
    </row>
    <row r="140" customFormat="false" ht="15" hidden="false" customHeight="true" outlineLevel="0" collapsed="false">
      <c r="A140" s="23"/>
      <c r="B140" s="24"/>
      <c r="C140" s="23"/>
      <c r="D140" s="23"/>
      <c r="E140" s="23"/>
      <c r="F140" s="23"/>
      <c r="G140" s="23"/>
      <c r="H140" s="23"/>
      <c r="I140" s="23"/>
    </row>
    <row r="141" customFormat="false" ht="15" hidden="false" customHeight="true" outlineLevel="0" collapsed="false">
      <c r="A141" s="23"/>
      <c r="B141" s="24"/>
      <c r="C141" s="23"/>
      <c r="D141" s="23"/>
      <c r="E141" s="23"/>
      <c r="F141" s="23"/>
      <c r="G141" s="23"/>
      <c r="H141" s="23"/>
      <c r="I141" s="23"/>
    </row>
    <row r="142" customFormat="false" ht="15" hidden="false" customHeight="true" outlineLevel="0" collapsed="false">
      <c r="A142" s="23"/>
      <c r="B142" s="24"/>
      <c r="C142" s="23"/>
      <c r="D142" s="23"/>
      <c r="E142" s="23"/>
      <c r="F142" s="23"/>
      <c r="G142" s="23"/>
      <c r="H142" s="23"/>
      <c r="I142" s="23"/>
    </row>
    <row r="143" customFormat="false" ht="15" hidden="false" customHeight="true" outlineLevel="0" collapsed="false">
      <c r="A143" s="23"/>
      <c r="B143" s="24"/>
      <c r="C143" s="23"/>
      <c r="D143" s="23"/>
      <c r="E143" s="23"/>
      <c r="F143" s="23"/>
      <c r="G143" s="23"/>
      <c r="H143" s="23"/>
      <c r="I143" s="23"/>
    </row>
    <row r="144" customFormat="false" ht="15" hidden="false" customHeight="true" outlineLevel="0" collapsed="false">
      <c r="A144" s="23"/>
      <c r="B144" s="24"/>
      <c r="C144" s="23"/>
      <c r="D144" s="23"/>
      <c r="E144" s="23"/>
      <c r="F144" s="23"/>
      <c r="G144" s="23"/>
      <c r="H144" s="23"/>
      <c r="I144" s="23"/>
    </row>
    <row r="145" customFormat="false" ht="15" hidden="false" customHeight="true" outlineLevel="0" collapsed="false">
      <c r="A145" s="23"/>
      <c r="B145" s="24"/>
      <c r="C145" s="23"/>
      <c r="D145" s="23"/>
      <c r="E145" s="23"/>
      <c r="F145" s="23"/>
      <c r="G145" s="23"/>
      <c r="H145" s="23"/>
      <c r="I145" s="23"/>
    </row>
    <row r="146" customFormat="false" ht="15" hidden="false" customHeight="true" outlineLevel="0" collapsed="false">
      <c r="A146" s="23"/>
      <c r="B146" s="24"/>
      <c r="C146" s="23"/>
      <c r="D146" s="23"/>
      <c r="E146" s="23"/>
      <c r="F146" s="23"/>
      <c r="G146" s="23"/>
      <c r="H146" s="23"/>
      <c r="I146" s="23"/>
    </row>
    <row r="147" customFormat="false" ht="15" hidden="false" customHeight="true" outlineLevel="0" collapsed="false">
      <c r="A147" s="23"/>
      <c r="B147" s="24"/>
      <c r="C147" s="23"/>
      <c r="D147" s="23"/>
      <c r="E147" s="23"/>
      <c r="F147" s="23"/>
      <c r="G147" s="23"/>
      <c r="H147" s="23"/>
      <c r="I147" s="23"/>
    </row>
    <row r="148" customFormat="false" ht="15" hidden="false" customHeight="true" outlineLevel="0" collapsed="false">
      <c r="A148" s="23"/>
      <c r="B148" s="24"/>
      <c r="C148" s="23"/>
      <c r="D148" s="23"/>
      <c r="E148" s="23"/>
      <c r="F148" s="23"/>
      <c r="G148" s="23"/>
      <c r="H148" s="23"/>
      <c r="I148" s="23"/>
    </row>
    <row r="149" customFormat="false" ht="15" hidden="false" customHeight="true" outlineLevel="0" collapsed="false">
      <c r="A149" s="23"/>
      <c r="B149" s="24"/>
      <c r="C149" s="23"/>
      <c r="D149" s="23"/>
      <c r="E149" s="23"/>
      <c r="F149" s="23"/>
      <c r="G149" s="23"/>
      <c r="H149" s="23"/>
      <c r="I149" s="23"/>
    </row>
    <row r="150" customFormat="false" ht="15" hidden="false" customHeight="true" outlineLevel="0" collapsed="false">
      <c r="A150" s="23"/>
      <c r="B150" s="24"/>
      <c r="C150" s="23"/>
      <c r="D150" s="23"/>
      <c r="E150" s="23"/>
      <c r="F150" s="23"/>
      <c r="G150" s="23"/>
      <c r="H150" s="23"/>
      <c r="I150" s="23"/>
    </row>
    <row r="151" customFormat="false" ht="15" hidden="false" customHeight="true" outlineLevel="0" collapsed="false">
      <c r="A151" s="23"/>
      <c r="B151" s="24"/>
      <c r="C151" s="23"/>
      <c r="D151" s="23"/>
      <c r="E151" s="23"/>
      <c r="F151" s="23"/>
      <c r="G151" s="23"/>
      <c r="H151" s="23"/>
      <c r="I151" s="23"/>
    </row>
    <row r="152" customFormat="false" ht="15" hidden="false" customHeight="true" outlineLevel="0" collapsed="false">
      <c r="A152" s="23"/>
      <c r="B152" s="24"/>
      <c r="C152" s="23"/>
      <c r="D152" s="23"/>
      <c r="E152" s="23"/>
      <c r="F152" s="23"/>
      <c r="G152" s="23"/>
      <c r="H152" s="23"/>
      <c r="I152" s="23"/>
    </row>
    <row r="153" customFormat="false" ht="15" hidden="false" customHeight="true" outlineLevel="0" collapsed="false">
      <c r="A153" s="23"/>
      <c r="B153" s="24"/>
      <c r="C153" s="23"/>
      <c r="D153" s="23"/>
      <c r="E153" s="23"/>
      <c r="F153" s="23"/>
      <c r="G153" s="23"/>
      <c r="H153" s="23"/>
      <c r="I153" s="23"/>
    </row>
    <row r="154" customFormat="false" ht="15" hidden="false" customHeight="true" outlineLevel="0" collapsed="false">
      <c r="A154" s="23"/>
      <c r="B154" s="24"/>
      <c r="C154" s="23"/>
      <c r="D154" s="23"/>
      <c r="E154" s="23"/>
      <c r="F154" s="23"/>
      <c r="G154" s="23"/>
      <c r="H154" s="23"/>
      <c r="I154" s="23"/>
    </row>
    <row r="155" customFormat="false" ht="15" hidden="false" customHeight="true" outlineLevel="0" collapsed="false">
      <c r="A155" s="23"/>
      <c r="B155" s="24"/>
      <c r="C155" s="23"/>
      <c r="D155" s="23"/>
      <c r="E155" s="23"/>
      <c r="F155" s="23"/>
      <c r="G155" s="23"/>
      <c r="H155" s="23"/>
      <c r="I155" s="23"/>
    </row>
    <row r="156" customFormat="false" ht="15" hidden="false" customHeight="true" outlineLevel="0" collapsed="false">
      <c r="A156" s="23"/>
      <c r="B156" s="24"/>
      <c r="C156" s="23"/>
      <c r="D156" s="23"/>
      <c r="E156" s="23"/>
      <c r="F156" s="23"/>
      <c r="G156" s="23"/>
      <c r="H156" s="23"/>
      <c r="I156" s="23"/>
    </row>
    <row r="157" customFormat="false" ht="15" hidden="false" customHeight="true" outlineLevel="0" collapsed="false">
      <c r="A157" s="23"/>
      <c r="B157" s="24"/>
      <c r="C157" s="23"/>
      <c r="D157" s="23"/>
      <c r="E157" s="23"/>
      <c r="F157" s="23"/>
      <c r="G157" s="23"/>
      <c r="H157" s="23"/>
      <c r="I157" s="23"/>
    </row>
    <row r="158" customFormat="false" ht="15" hidden="false" customHeight="true" outlineLevel="0" collapsed="false">
      <c r="A158" s="23"/>
      <c r="B158" s="24"/>
      <c r="C158" s="23"/>
      <c r="D158" s="23"/>
      <c r="E158" s="23"/>
      <c r="F158" s="23"/>
      <c r="G158" s="23"/>
      <c r="H158" s="23"/>
      <c r="I158" s="23"/>
    </row>
    <row r="159" customFormat="false" ht="15" hidden="false" customHeight="true" outlineLevel="0" collapsed="false">
      <c r="A159" s="23"/>
      <c r="B159" s="24"/>
      <c r="C159" s="23"/>
      <c r="D159" s="23"/>
      <c r="E159" s="23"/>
      <c r="F159" s="23"/>
      <c r="G159" s="23"/>
      <c r="H159" s="23"/>
      <c r="I159" s="23"/>
    </row>
    <row r="160" customFormat="false" ht="15" hidden="false" customHeight="true" outlineLevel="0" collapsed="false">
      <c r="A160" s="23"/>
      <c r="B160" s="24"/>
      <c r="C160" s="23"/>
      <c r="D160" s="23"/>
      <c r="E160" s="23"/>
      <c r="F160" s="23"/>
      <c r="G160" s="23"/>
      <c r="H160" s="23"/>
      <c r="I160" s="23"/>
    </row>
    <row r="161" customFormat="false" ht="15" hidden="false" customHeight="true" outlineLevel="0" collapsed="false">
      <c r="A161" s="23"/>
      <c r="B161" s="24"/>
      <c r="C161" s="23"/>
      <c r="D161" s="23"/>
      <c r="E161" s="23"/>
      <c r="F161" s="23"/>
      <c r="G161" s="23"/>
      <c r="H161" s="23"/>
      <c r="I161" s="23"/>
    </row>
    <row r="162" customFormat="false" ht="15" hidden="false" customHeight="true" outlineLevel="0" collapsed="false">
      <c r="A162" s="23"/>
      <c r="B162" s="24"/>
      <c r="C162" s="23"/>
      <c r="D162" s="23"/>
      <c r="E162" s="23"/>
      <c r="F162" s="23"/>
      <c r="G162" s="23"/>
      <c r="H162" s="23"/>
      <c r="I162" s="23"/>
    </row>
    <row r="163" customFormat="false" ht="15" hidden="false" customHeight="true" outlineLevel="0" collapsed="false">
      <c r="A163" s="23"/>
      <c r="B163" s="24"/>
      <c r="C163" s="23"/>
      <c r="D163" s="23"/>
      <c r="E163" s="23"/>
      <c r="F163" s="23"/>
      <c r="G163" s="23"/>
      <c r="H163" s="23"/>
      <c r="I163" s="23"/>
    </row>
    <row r="164" customFormat="false" ht="15" hidden="false" customHeight="true" outlineLevel="0" collapsed="false">
      <c r="A164" s="23"/>
      <c r="B164" s="24"/>
      <c r="C164" s="23"/>
      <c r="D164" s="23"/>
      <c r="E164" s="23"/>
      <c r="F164" s="23"/>
      <c r="G164" s="23"/>
      <c r="H164" s="23"/>
      <c r="I164" s="23"/>
    </row>
    <row r="165" customFormat="false" ht="15" hidden="false" customHeight="true" outlineLevel="0" collapsed="false">
      <c r="A165" s="23"/>
      <c r="B165" s="24"/>
      <c r="C165" s="23"/>
      <c r="D165" s="23"/>
      <c r="E165" s="23"/>
      <c r="F165" s="23"/>
      <c r="G165" s="23"/>
      <c r="H165" s="23"/>
      <c r="I165" s="23"/>
    </row>
    <row r="166" customFormat="false" ht="15" hidden="false" customHeight="true" outlineLevel="0" collapsed="false">
      <c r="A166" s="23"/>
      <c r="B166" s="24"/>
      <c r="C166" s="23"/>
      <c r="D166" s="23"/>
      <c r="E166" s="23"/>
      <c r="F166" s="23"/>
      <c r="G166" s="23"/>
      <c r="H166" s="23"/>
      <c r="I166" s="23"/>
    </row>
    <row r="167" customFormat="false" ht="15" hidden="false" customHeight="true" outlineLevel="0" collapsed="false">
      <c r="A167" s="23"/>
      <c r="B167" s="24"/>
      <c r="C167" s="23"/>
      <c r="D167" s="23"/>
      <c r="E167" s="23"/>
      <c r="F167" s="23"/>
      <c r="G167" s="23"/>
      <c r="H167" s="23"/>
      <c r="I167" s="23"/>
    </row>
    <row r="168" customFormat="false" ht="15" hidden="false" customHeight="true" outlineLevel="0" collapsed="false">
      <c r="A168" s="23"/>
      <c r="B168" s="24"/>
      <c r="C168" s="23"/>
      <c r="D168" s="23"/>
      <c r="E168" s="23"/>
      <c r="F168" s="23"/>
      <c r="G168" s="23"/>
      <c r="H168" s="23"/>
      <c r="I168" s="23"/>
    </row>
    <row r="169" customFormat="false" ht="15" hidden="false" customHeight="true" outlineLevel="0" collapsed="false">
      <c r="A169" s="23"/>
      <c r="B169" s="24"/>
      <c r="C169" s="23"/>
      <c r="D169" s="23"/>
      <c r="E169" s="23"/>
      <c r="F169" s="23"/>
      <c r="G169" s="23"/>
      <c r="H169" s="23"/>
      <c r="I169" s="23"/>
    </row>
    <row r="170" customFormat="false" ht="15" hidden="false" customHeight="true" outlineLevel="0" collapsed="false">
      <c r="A170" s="23"/>
      <c r="B170" s="24"/>
      <c r="C170" s="23"/>
      <c r="D170" s="23"/>
      <c r="E170" s="23"/>
      <c r="F170" s="23"/>
      <c r="G170" s="23"/>
      <c r="H170" s="23"/>
      <c r="I170" s="23"/>
    </row>
    <row r="171" customFormat="false" ht="15" hidden="false" customHeight="true" outlineLevel="0" collapsed="false">
      <c r="A171" s="23"/>
      <c r="B171" s="24"/>
      <c r="C171" s="23"/>
      <c r="D171" s="23"/>
      <c r="E171" s="23"/>
      <c r="F171" s="23"/>
      <c r="G171" s="23"/>
      <c r="H171" s="23"/>
      <c r="I171" s="23"/>
    </row>
    <row r="172" customFormat="false" ht="15" hidden="false" customHeight="true" outlineLevel="0" collapsed="false">
      <c r="A172" s="23"/>
      <c r="B172" s="24"/>
      <c r="C172" s="23"/>
      <c r="D172" s="23"/>
      <c r="E172" s="23"/>
      <c r="F172" s="23"/>
      <c r="G172" s="23"/>
      <c r="H172" s="23"/>
      <c r="I172" s="23"/>
    </row>
    <row r="173" customFormat="false" ht="15" hidden="false" customHeight="true" outlineLevel="0" collapsed="false">
      <c r="A173" s="23"/>
      <c r="B173" s="24"/>
      <c r="C173" s="23"/>
      <c r="D173" s="23"/>
      <c r="E173" s="23"/>
      <c r="F173" s="23"/>
      <c r="G173" s="23"/>
      <c r="H173" s="23"/>
      <c r="I173" s="23"/>
    </row>
    <row r="174" customFormat="false" ht="15" hidden="false" customHeight="true" outlineLevel="0" collapsed="false">
      <c r="A174" s="23"/>
      <c r="B174" s="24"/>
      <c r="C174" s="23"/>
      <c r="D174" s="23"/>
      <c r="E174" s="23"/>
      <c r="F174" s="23"/>
      <c r="G174" s="23"/>
      <c r="H174" s="23"/>
      <c r="I174" s="23"/>
    </row>
    <row r="175" customFormat="false" ht="15" hidden="false" customHeight="true" outlineLevel="0" collapsed="false">
      <c r="A175" s="23"/>
      <c r="B175" s="24"/>
      <c r="C175" s="23"/>
      <c r="D175" s="23"/>
      <c r="E175" s="23"/>
      <c r="F175" s="23"/>
      <c r="G175" s="23"/>
      <c r="H175" s="23"/>
      <c r="I175" s="23"/>
    </row>
    <row r="176" customFormat="false" ht="15" hidden="false" customHeight="true" outlineLevel="0" collapsed="false">
      <c r="A176" s="23"/>
      <c r="B176" s="24"/>
      <c r="C176" s="23"/>
      <c r="D176" s="23"/>
      <c r="E176" s="23"/>
      <c r="F176" s="23"/>
      <c r="G176" s="23"/>
      <c r="H176" s="23"/>
      <c r="I176" s="23"/>
    </row>
    <row r="177" customFormat="false" ht="15" hidden="false" customHeight="true" outlineLevel="0" collapsed="false">
      <c r="A177" s="23"/>
      <c r="B177" s="24"/>
      <c r="C177" s="23"/>
      <c r="D177" s="23"/>
      <c r="E177" s="23"/>
      <c r="F177" s="23"/>
      <c r="G177" s="23"/>
      <c r="H177" s="23"/>
      <c r="I177" s="23"/>
    </row>
    <row r="178" customFormat="false" ht="15" hidden="false" customHeight="true" outlineLevel="0" collapsed="false">
      <c r="A178" s="23"/>
      <c r="B178" s="24"/>
      <c r="C178" s="23"/>
      <c r="D178" s="23"/>
      <c r="E178" s="23"/>
      <c r="F178" s="23"/>
      <c r="G178" s="23"/>
      <c r="H178" s="23"/>
      <c r="I178" s="23"/>
    </row>
    <row r="179" customFormat="false" ht="15" hidden="false" customHeight="true" outlineLevel="0" collapsed="false">
      <c r="A179" s="23"/>
      <c r="B179" s="24"/>
      <c r="C179" s="23"/>
      <c r="D179" s="23"/>
      <c r="E179" s="23"/>
      <c r="F179" s="23"/>
      <c r="G179" s="23"/>
      <c r="H179" s="23"/>
      <c r="I179" s="23"/>
    </row>
    <row r="180" customFormat="false" ht="15" hidden="false" customHeight="true" outlineLevel="0" collapsed="false">
      <c r="A180" s="23"/>
      <c r="B180" s="24"/>
      <c r="C180" s="23"/>
      <c r="D180" s="23"/>
      <c r="E180" s="23"/>
      <c r="F180" s="23"/>
      <c r="G180" s="23"/>
      <c r="H180" s="23"/>
      <c r="I180" s="23"/>
    </row>
    <row r="181" customFormat="false" ht="15" hidden="false" customHeight="true" outlineLevel="0" collapsed="false">
      <c r="A181" s="23"/>
      <c r="B181" s="24"/>
      <c r="C181" s="23"/>
      <c r="D181" s="23"/>
      <c r="E181" s="23"/>
      <c r="F181" s="23"/>
      <c r="G181" s="23"/>
      <c r="H181" s="23"/>
      <c r="I181" s="23"/>
    </row>
    <row r="182" customFormat="false" ht="15" hidden="false" customHeight="true" outlineLevel="0" collapsed="false">
      <c r="A182" s="23"/>
      <c r="B182" s="24"/>
      <c r="C182" s="23"/>
      <c r="D182" s="23"/>
      <c r="E182" s="23"/>
      <c r="F182" s="23"/>
      <c r="G182" s="23"/>
      <c r="H182" s="23"/>
      <c r="I182" s="23"/>
    </row>
    <row r="183" customFormat="false" ht="15" hidden="false" customHeight="true" outlineLevel="0" collapsed="false">
      <c r="A183" s="23"/>
      <c r="B183" s="24"/>
      <c r="C183" s="23"/>
      <c r="D183" s="23"/>
      <c r="E183" s="23"/>
      <c r="F183" s="23"/>
      <c r="G183" s="23"/>
      <c r="H183" s="23"/>
      <c r="I183" s="23"/>
    </row>
    <row r="184" customFormat="false" ht="15" hidden="false" customHeight="true" outlineLevel="0" collapsed="false">
      <c r="A184" s="23"/>
      <c r="B184" s="24"/>
      <c r="C184" s="23"/>
      <c r="D184" s="23"/>
      <c r="E184" s="23"/>
      <c r="F184" s="23"/>
      <c r="G184" s="23"/>
      <c r="H184" s="23"/>
      <c r="I184" s="23"/>
    </row>
    <row r="185" customFormat="false" ht="15" hidden="false" customHeight="true" outlineLevel="0" collapsed="false">
      <c r="A185" s="23"/>
      <c r="B185" s="24"/>
      <c r="C185" s="23"/>
      <c r="D185" s="23"/>
      <c r="E185" s="23"/>
      <c r="F185" s="23"/>
      <c r="G185" s="23"/>
      <c r="H185" s="23"/>
      <c r="I185" s="23"/>
    </row>
    <row r="186" customFormat="false" ht="15" hidden="false" customHeight="true" outlineLevel="0" collapsed="false">
      <c r="A186" s="23"/>
      <c r="B186" s="24"/>
      <c r="C186" s="23"/>
      <c r="D186" s="23"/>
      <c r="E186" s="23"/>
      <c r="F186" s="23"/>
      <c r="G186" s="23"/>
      <c r="H186" s="23"/>
      <c r="I186" s="23"/>
    </row>
    <row r="187" customFormat="false" ht="15" hidden="false" customHeight="true" outlineLevel="0" collapsed="false">
      <c r="A187" s="23"/>
      <c r="B187" s="24"/>
      <c r="C187" s="23"/>
      <c r="D187" s="23"/>
      <c r="E187" s="23"/>
      <c r="F187" s="23"/>
      <c r="G187" s="23"/>
      <c r="H187" s="23"/>
      <c r="I187" s="23"/>
    </row>
    <row r="188" customFormat="false" ht="15" hidden="false" customHeight="true" outlineLevel="0" collapsed="false">
      <c r="A188" s="23"/>
      <c r="B188" s="24"/>
      <c r="C188" s="23"/>
      <c r="D188" s="23"/>
      <c r="E188" s="23"/>
      <c r="F188" s="23"/>
      <c r="G188" s="23"/>
      <c r="H188" s="23"/>
      <c r="I188" s="23"/>
    </row>
    <row r="189" customFormat="false" ht="15" hidden="false" customHeight="true" outlineLevel="0" collapsed="false">
      <c r="A189" s="23"/>
      <c r="B189" s="24"/>
      <c r="C189" s="23"/>
      <c r="D189" s="23"/>
      <c r="E189" s="23"/>
      <c r="F189" s="23"/>
      <c r="G189" s="23"/>
      <c r="H189" s="23"/>
      <c r="I189" s="23"/>
    </row>
    <row r="190" customFormat="false" ht="15" hidden="false" customHeight="true" outlineLevel="0" collapsed="false">
      <c r="A190" s="23"/>
      <c r="B190" s="24"/>
      <c r="C190" s="23"/>
      <c r="D190" s="23"/>
      <c r="E190" s="23"/>
      <c r="F190" s="23"/>
      <c r="G190" s="23"/>
      <c r="H190" s="23"/>
      <c r="I190" s="23"/>
    </row>
    <row r="191" customFormat="false" ht="15" hidden="false" customHeight="true" outlineLevel="0" collapsed="false">
      <c r="A191" s="23"/>
      <c r="B191" s="24"/>
      <c r="C191" s="23"/>
      <c r="D191" s="23"/>
      <c r="E191" s="23"/>
      <c r="F191" s="23"/>
      <c r="G191" s="23"/>
      <c r="H191" s="23"/>
      <c r="I191" s="23"/>
    </row>
    <row r="192" customFormat="false" ht="15" hidden="false" customHeight="true" outlineLevel="0" collapsed="false">
      <c r="A192" s="23"/>
      <c r="B192" s="24"/>
      <c r="C192" s="23"/>
      <c r="D192" s="23"/>
      <c r="E192" s="23"/>
      <c r="F192" s="23"/>
      <c r="G192" s="23"/>
      <c r="H192" s="23"/>
      <c r="I192" s="23"/>
    </row>
    <row r="193" customFormat="false" ht="15" hidden="false" customHeight="true" outlineLevel="0" collapsed="false">
      <c r="A193" s="23"/>
      <c r="B193" s="24"/>
      <c r="C193" s="23"/>
      <c r="D193" s="23"/>
      <c r="E193" s="23"/>
      <c r="F193" s="23"/>
      <c r="G193" s="23"/>
      <c r="H193" s="23"/>
      <c r="I193" s="23"/>
    </row>
    <row r="194" customFormat="false" ht="15" hidden="false" customHeight="true" outlineLevel="0" collapsed="false">
      <c r="A194" s="23"/>
      <c r="B194" s="24"/>
      <c r="C194" s="23"/>
      <c r="D194" s="23"/>
      <c r="E194" s="23"/>
      <c r="F194" s="23"/>
      <c r="G194" s="23"/>
      <c r="H194" s="23"/>
      <c r="I194" s="23"/>
    </row>
    <row r="195" customFormat="false" ht="15" hidden="false" customHeight="true" outlineLevel="0" collapsed="false">
      <c r="A195" s="23"/>
      <c r="B195" s="24"/>
      <c r="C195" s="23"/>
      <c r="D195" s="23"/>
      <c r="E195" s="23"/>
      <c r="F195" s="23"/>
      <c r="G195" s="23"/>
      <c r="H195" s="23"/>
      <c r="I195" s="23"/>
    </row>
    <row r="196" customFormat="false" ht="15" hidden="false" customHeight="true" outlineLevel="0" collapsed="false">
      <c r="A196" s="23"/>
      <c r="B196" s="24"/>
      <c r="C196" s="23"/>
      <c r="D196" s="23"/>
      <c r="E196" s="23"/>
      <c r="F196" s="23"/>
      <c r="G196" s="23"/>
      <c r="H196" s="23"/>
      <c r="I196" s="23"/>
    </row>
    <row r="197" customFormat="false" ht="15" hidden="false" customHeight="true" outlineLevel="0" collapsed="false">
      <c r="A197" s="23"/>
      <c r="B197" s="24"/>
      <c r="C197" s="23"/>
      <c r="D197" s="23"/>
      <c r="E197" s="23"/>
      <c r="F197" s="23"/>
      <c r="G197" s="23"/>
      <c r="H197" s="23"/>
      <c r="I197" s="23"/>
    </row>
    <row r="198" customFormat="false" ht="15" hidden="false" customHeight="true" outlineLevel="0" collapsed="false">
      <c r="A198" s="23"/>
      <c r="B198" s="24"/>
      <c r="C198" s="23"/>
      <c r="D198" s="23"/>
      <c r="E198" s="23"/>
      <c r="F198" s="23"/>
      <c r="G198" s="23"/>
      <c r="H198" s="23"/>
      <c r="I198" s="23"/>
    </row>
    <row r="199" customFormat="false" ht="15" hidden="false" customHeight="true" outlineLevel="0" collapsed="false">
      <c r="A199" s="23"/>
      <c r="B199" s="24"/>
      <c r="C199" s="23"/>
      <c r="D199" s="23"/>
      <c r="E199" s="23"/>
      <c r="F199" s="23"/>
      <c r="G199" s="23"/>
      <c r="H199" s="23"/>
      <c r="I199" s="23"/>
    </row>
    <row r="200" customFormat="false" ht="15" hidden="false" customHeight="true" outlineLevel="0" collapsed="false">
      <c r="A200" s="23"/>
      <c r="B200" s="24"/>
      <c r="C200" s="23"/>
      <c r="D200" s="23"/>
      <c r="E200" s="23"/>
      <c r="F200" s="23"/>
      <c r="G200" s="23"/>
      <c r="H200" s="23"/>
      <c r="I200" s="23"/>
    </row>
    <row r="201" customFormat="false" ht="15" hidden="false" customHeight="true" outlineLevel="0" collapsed="false">
      <c r="A201" s="23"/>
      <c r="B201" s="24"/>
      <c r="C201" s="23"/>
      <c r="D201" s="23"/>
      <c r="E201" s="23"/>
      <c r="F201" s="23"/>
      <c r="G201" s="23"/>
      <c r="H201" s="23"/>
      <c r="I201" s="23"/>
    </row>
    <row r="202" customFormat="false" ht="15" hidden="false" customHeight="true" outlineLevel="0" collapsed="false">
      <c r="A202" s="23"/>
      <c r="B202" s="24"/>
      <c r="C202" s="23"/>
      <c r="D202" s="23"/>
      <c r="E202" s="23"/>
      <c r="F202" s="23"/>
      <c r="G202" s="23"/>
      <c r="H202" s="23"/>
      <c r="I202" s="23"/>
    </row>
    <row r="203" customFormat="false" ht="15" hidden="false" customHeight="true" outlineLevel="0" collapsed="false">
      <c r="A203" s="23"/>
      <c r="B203" s="24"/>
      <c r="C203" s="23"/>
      <c r="D203" s="23"/>
      <c r="E203" s="23"/>
      <c r="F203" s="23"/>
      <c r="G203" s="23"/>
      <c r="H203" s="23"/>
      <c r="I203" s="23"/>
    </row>
  </sheetData>
  <mergeCells count="2">
    <mergeCell ref="A1:I1"/>
    <mergeCell ref="A2:I2"/>
  </mergeCells>
  <dataValidations count="5">
    <dataValidation allowBlank="true" errorStyle="warning" operator="between" promptTitle="Gün" showDropDown="false" showErrorMessage="false" showInputMessage="false" sqref="F4:F203" type="list">
      <formula1>"Pazartesi,Salı,Çarşamba,Perşembe,Cuma"</formula1>
      <formula2>0</formula2>
    </dataValidation>
    <dataValidation allowBlank="true" errorStyle="warning" operator="between" promptTitle="Başlangıç Saati" showDropDown="false" showErrorMessage="false" showInputMessage="false" sqref="G4:G203" type="list">
      <formula1>"08.00,09.00,10.00,11.00,12.00,13.00,14.00,15.00,16.00,17.00"</formula1>
      <formula2>0</formula2>
    </dataValidation>
    <dataValidation allowBlank="true" errorStyle="warning" operator="between" promptTitle="Süre (Saat)" showDropDown="false" showErrorMessage="false" showInputMessage="false" sqref="H4:H203" type="list">
      <formula1>"1,2,3,4,5,6,7,8"</formula1>
      <formula2>0</formula2>
    </dataValidation>
    <dataValidation allowBlank="true" errorStyle="warning" operator="between" promptTitle="Derslik" showDropDown="false" showErrorMessage="false" showInputMessage="false" sqref="I4:I203" type="list">
      <formula1>'Ortak Derslik Listesi'!$B$4:$B$23</formula1>
      <formula2>0</formula2>
    </dataValidation>
    <dataValidation allowBlank="true" errorStyle="warning" operator="between" promptTitle="Öğretim Elemanı" showDropDown="false" showErrorMessage="false" showInputMessage="false" sqref="E4:E203" type="list">
      <formula1>'Fakülte Öğretim Elemanları'!$C$4:$C$78</formula1>
      <formula2>0</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CE6F1"/>
    <pageSetUpPr fitToPage="true"/>
  </sheetPr>
  <dimension ref="A1:I2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4"/>
    <col collapsed="false" customWidth="true" hidden="false" outlineLevel="0" max="3" min="3" style="0" width="8"/>
    <col collapsed="false" customWidth="true" hidden="false" outlineLevel="0" max="4" min="4" style="0" width="9"/>
    <col collapsed="false" customWidth="true" hidden="false" outlineLevel="0" max="5" min="5" style="0" width="28"/>
    <col collapsed="false" customWidth="true" hidden="false" outlineLevel="0" max="7" min="6" style="0" width="13"/>
    <col collapsed="false" customWidth="true" hidden="false" outlineLevel="0" max="8" min="8" style="0" width="9"/>
    <col collapsed="false" customWidth="true" hidden="false" outlineLevel="0" max="9" min="9" style="0" width="16"/>
  </cols>
  <sheetData>
    <row r="1" customFormat="false" ht="27.75" hidden="false" customHeight="true" outlineLevel="0" collapsed="false">
      <c r="A1" s="21" t="s">
        <v>94</v>
      </c>
      <c r="B1" s="21"/>
      <c r="C1" s="21"/>
      <c r="D1" s="21"/>
      <c r="E1" s="21"/>
      <c r="F1" s="21"/>
      <c r="G1" s="21"/>
      <c r="H1" s="21"/>
      <c r="I1" s="21"/>
    </row>
    <row r="2" customFormat="false" ht="30" hidden="false" customHeight="true" outlineLevel="0" collapsed="false">
      <c r="A2" s="22" t="s">
        <v>84</v>
      </c>
      <c r="B2" s="22"/>
      <c r="C2" s="22"/>
      <c r="D2" s="22"/>
      <c r="E2" s="22"/>
      <c r="F2" s="22"/>
      <c r="G2" s="22"/>
      <c r="H2" s="22"/>
      <c r="I2" s="22"/>
    </row>
    <row r="3" customFormat="false" ht="30" hidden="false" customHeight="true" outlineLevel="0" collapsed="false">
      <c r="A3" s="10" t="s">
        <v>85</v>
      </c>
      <c r="B3" s="10" t="s">
        <v>86</v>
      </c>
      <c r="C3" s="10" t="s">
        <v>87</v>
      </c>
      <c r="D3" s="10" t="s">
        <v>88</v>
      </c>
      <c r="E3" s="10" t="s">
        <v>89</v>
      </c>
      <c r="F3" s="10" t="s">
        <v>90</v>
      </c>
      <c r="G3" s="10" t="s">
        <v>91</v>
      </c>
      <c r="H3" s="10" t="s">
        <v>92</v>
      </c>
      <c r="I3" s="10" t="s">
        <v>93</v>
      </c>
    </row>
    <row r="4" customFormat="false" ht="15" hidden="false" customHeight="true" outlineLevel="0" collapsed="false">
      <c r="A4" s="23"/>
      <c r="B4" s="24"/>
      <c r="C4" s="23"/>
      <c r="D4" s="23"/>
      <c r="E4" s="23"/>
      <c r="F4" s="23"/>
      <c r="G4" s="23"/>
      <c r="H4" s="23"/>
      <c r="I4" s="23"/>
    </row>
    <row r="5" customFormat="false" ht="15" hidden="false" customHeight="true" outlineLevel="0" collapsed="false">
      <c r="A5" s="23"/>
      <c r="B5" s="24"/>
      <c r="C5" s="23"/>
      <c r="D5" s="23"/>
      <c r="E5" s="23"/>
      <c r="F5" s="23"/>
      <c r="G5" s="23"/>
      <c r="H5" s="23"/>
      <c r="I5" s="23"/>
    </row>
    <row r="6" customFormat="false" ht="15" hidden="false" customHeight="true" outlineLevel="0" collapsed="false">
      <c r="A6" s="23"/>
      <c r="B6" s="24"/>
      <c r="C6" s="23"/>
      <c r="D6" s="23"/>
      <c r="E6" s="23"/>
      <c r="F6" s="23"/>
      <c r="G6" s="23"/>
      <c r="H6" s="23"/>
      <c r="I6" s="23"/>
    </row>
    <row r="7" customFormat="false" ht="15" hidden="false" customHeight="true" outlineLevel="0" collapsed="false">
      <c r="A7" s="23"/>
      <c r="B7" s="24"/>
      <c r="C7" s="23"/>
      <c r="D7" s="23"/>
      <c r="E7" s="23"/>
      <c r="F7" s="23"/>
      <c r="G7" s="23"/>
      <c r="H7" s="23"/>
      <c r="I7" s="23"/>
    </row>
    <row r="8" customFormat="false" ht="15" hidden="false" customHeight="true" outlineLevel="0" collapsed="false">
      <c r="A8" s="23"/>
      <c r="B8" s="24"/>
      <c r="C8" s="23"/>
      <c r="D8" s="23"/>
      <c r="E8" s="23"/>
      <c r="F8" s="23"/>
      <c r="G8" s="23"/>
      <c r="H8" s="23"/>
      <c r="I8" s="23"/>
    </row>
    <row r="9" customFormat="false" ht="15" hidden="false" customHeight="true" outlineLevel="0" collapsed="false">
      <c r="A9" s="23"/>
      <c r="B9" s="24"/>
      <c r="C9" s="23"/>
      <c r="D9" s="23"/>
      <c r="E9" s="23"/>
      <c r="F9" s="23"/>
      <c r="G9" s="23"/>
      <c r="H9" s="23"/>
      <c r="I9" s="23"/>
    </row>
    <row r="10" customFormat="false" ht="15" hidden="false" customHeight="true" outlineLevel="0" collapsed="false">
      <c r="A10" s="23"/>
      <c r="B10" s="24"/>
      <c r="C10" s="23"/>
      <c r="D10" s="23"/>
      <c r="E10" s="23"/>
      <c r="F10" s="23"/>
      <c r="G10" s="23"/>
      <c r="H10" s="23"/>
      <c r="I10" s="23"/>
    </row>
    <row r="11" customFormat="false" ht="15" hidden="false" customHeight="true" outlineLevel="0" collapsed="false">
      <c r="A11" s="23"/>
      <c r="B11" s="24"/>
      <c r="C11" s="23"/>
      <c r="D11" s="23"/>
      <c r="E11" s="23"/>
      <c r="F11" s="23"/>
      <c r="G11" s="23"/>
      <c r="H11" s="23"/>
      <c r="I11" s="23"/>
    </row>
    <row r="12" customFormat="false" ht="15" hidden="false" customHeight="true" outlineLevel="0" collapsed="false">
      <c r="A12" s="23"/>
      <c r="B12" s="24"/>
      <c r="C12" s="23"/>
      <c r="D12" s="23"/>
      <c r="E12" s="23"/>
      <c r="F12" s="23"/>
      <c r="G12" s="23"/>
      <c r="H12" s="23"/>
      <c r="I12" s="23"/>
    </row>
    <row r="13" customFormat="false" ht="15" hidden="false" customHeight="true" outlineLevel="0" collapsed="false">
      <c r="A13" s="23"/>
      <c r="B13" s="24"/>
      <c r="C13" s="23"/>
      <c r="D13" s="23"/>
      <c r="E13" s="23"/>
      <c r="F13" s="23"/>
      <c r="G13" s="23"/>
      <c r="H13" s="23"/>
      <c r="I13" s="23"/>
    </row>
    <row r="14" customFormat="false" ht="15" hidden="false" customHeight="true" outlineLevel="0" collapsed="false">
      <c r="A14" s="23"/>
      <c r="B14" s="24"/>
      <c r="C14" s="23"/>
      <c r="D14" s="23"/>
      <c r="E14" s="23"/>
      <c r="F14" s="23"/>
      <c r="G14" s="23"/>
      <c r="H14" s="23"/>
      <c r="I14" s="23"/>
    </row>
    <row r="15" customFormat="false" ht="15" hidden="false" customHeight="true" outlineLevel="0" collapsed="false">
      <c r="A15" s="23"/>
      <c r="B15" s="24"/>
      <c r="C15" s="23"/>
      <c r="D15" s="23"/>
      <c r="E15" s="23"/>
      <c r="F15" s="23"/>
      <c r="G15" s="23"/>
      <c r="H15" s="23"/>
      <c r="I15" s="23"/>
    </row>
    <row r="16" customFormat="false" ht="15" hidden="false" customHeight="true" outlineLevel="0" collapsed="false">
      <c r="A16" s="23"/>
      <c r="B16" s="24"/>
      <c r="C16" s="23"/>
      <c r="D16" s="23"/>
      <c r="E16" s="23"/>
      <c r="F16" s="23"/>
      <c r="G16" s="23"/>
      <c r="H16" s="23"/>
      <c r="I16" s="23"/>
    </row>
    <row r="17" customFormat="false" ht="15" hidden="false" customHeight="true" outlineLevel="0" collapsed="false">
      <c r="A17" s="23"/>
      <c r="B17" s="24"/>
      <c r="C17" s="23"/>
      <c r="D17" s="23"/>
      <c r="E17" s="23"/>
      <c r="F17" s="23"/>
      <c r="G17" s="23"/>
      <c r="H17" s="23"/>
      <c r="I17" s="23"/>
    </row>
    <row r="18" customFormat="false" ht="15" hidden="false" customHeight="true" outlineLevel="0" collapsed="false">
      <c r="A18" s="23"/>
      <c r="B18" s="24"/>
      <c r="C18" s="23"/>
      <c r="D18" s="23"/>
      <c r="E18" s="23"/>
      <c r="F18" s="23"/>
      <c r="G18" s="23"/>
      <c r="H18" s="23"/>
      <c r="I18" s="23"/>
    </row>
    <row r="19" customFormat="false" ht="15" hidden="false" customHeight="true" outlineLevel="0" collapsed="false">
      <c r="A19" s="23"/>
      <c r="B19" s="24"/>
      <c r="C19" s="23"/>
      <c r="D19" s="23"/>
      <c r="E19" s="23"/>
      <c r="F19" s="23"/>
      <c r="G19" s="23"/>
      <c r="H19" s="23"/>
      <c r="I19" s="23"/>
    </row>
    <row r="20" customFormat="false" ht="15" hidden="false" customHeight="true" outlineLevel="0" collapsed="false">
      <c r="A20" s="23"/>
      <c r="B20" s="24"/>
      <c r="C20" s="23"/>
      <c r="D20" s="23"/>
      <c r="E20" s="23"/>
      <c r="F20" s="23"/>
      <c r="G20" s="23"/>
      <c r="H20" s="23"/>
      <c r="I20" s="23"/>
    </row>
    <row r="21" customFormat="false" ht="15" hidden="false" customHeight="true" outlineLevel="0" collapsed="false">
      <c r="A21" s="23"/>
      <c r="B21" s="24"/>
      <c r="C21" s="23"/>
      <c r="D21" s="23"/>
      <c r="E21" s="23"/>
      <c r="F21" s="23"/>
      <c r="G21" s="23"/>
      <c r="H21" s="23"/>
      <c r="I21" s="23"/>
    </row>
    <row r="22" customFormat="false" ht="15" hidden="false" customHeight="true" outlineLevel="0" collapsed="false">
      <c r="A22" s="23"/>
      <c r="B22" s="24"/>
      <c r="C22" s="23"/>
      <c r="D22" s="23"/>
      <c r="E22" s="23"/>
      <c r="F22" s="23"/>
      <c r="G22" s="23"/>
      <c r="H22" s="23"/>
      <c r="I22" s="23"/>
    </row>
    <row r="23" customFormat="false" ht="15" hidden="false" customHeight="true" outlineLevel="0" collapsed="false">
      <c r="A23" s="23"/>
      <c r="B23" s="24"/>
      <c r="C23" s="23"/>
      <c r="D23" s="23"/>
      <c r="E23" s="23"/>
      <c r="F23" s="23"/>
      <c r="G23" s="23"/>
      <c r="H23" s="23"/>
      <c r="I23" s="23"/>
    </row>
    <row r="24" customFormat="false" ht="15" hidden="false" customHeight="true" outlineLevel="0" collapsed="false">
      <c r="A24" s="23"/>
      <c r="B24" s="24"/>
      <c r="C24" s="23"/>
      <c r="D24" s="23"/>
      <c r="E24" s="23"/>
      <c r="F24" s="23"/>
      <c r="G24" s="23"/>
      <c r="H24" s="23"/>
      <c r="I24" s="23"/>
    </row>
    <row r="25" customFormat="false" ht="15" hidden="false" customHeight="true" outlineLevel="0" collapsed="false">
      <c r="A25" s="23"/>
      <c r="B25" s="24"/>
      <c r="C25" s="23"/>
      <c r="D25" s="23"/>
      <c r="E25" s="23"/>
      <c r="F25" s="23"/>
      <c r="G25" s="23"/>
      <c r="H25" s="23"/>
      <c r="I25" s="23"/>
    </row>
    <row r="26" customFormat="false" ht="15" hidden="false" customHeight="true" outlineLevel="0" collapsed="false">
      <c r="A26" s="23"/>
      <c r="B26" s="24"/>
      <c r="C26" s="23"/>
      <c r="D26" s="23"/>
      <c r="E26" s="23"/>
      <c r="F26" s="23"/>
      <c r="G26" s="23"/>
      <c r="H26" s="23"/>
      <c r="I26" s="23"/>
    </row>
    <row r="27" customFormat="false" ht="15" hidden="false" customHeight="true" outlineLevel="0" collapsed="false">
      <c r="A27" s="23"/>
      <c r="B27" s="24"/>
      <c r="C27" s="23"/>
      <c r="D27" s="23"/>
      <c r="E27" s="23"/>
      <c r="F27" s="23"/>
      <c r="G27" s="23"/>
      <c r="H27" s="23"/>
      <c r="I27" s="23"/>
    </row>
    <row r="28" customFormat="false" ht="15" hidden="false" customHeight="true" outlineLevel="0" collapsed="false">
      <c r="A28" s="23"/>
      <c r="B28" s="24"/>
      <c r="C28" s="23"/>
      <c r="D28" s="23"/>
      <c r="E28" s="23"/>
      <c r="F28" s="23"/>
      <c r="G28" s="23"/>
      <c r="H28" s="23"/>
      <c r="I28" s="23"/>
    </row>
    <row r="29" customFormat="false" ht="15" hidden="false" customHeight="true" outlineLevel="0" collapsed="false">
      <c r="A29" s="23"/>
      <c r="B29" s="24"/>
      <c r="C29" s="23"/>
      <c r="D29" s="23"/>
      <c r="E29" s="23"/>
      <c r="F29" s="23"/>
      <c r="G29" s="23"/>
      <c r="H29" s="23"/>
      <c r="I29" s="23"/>
    </row>
    <row r="30" customFormat="false" ht="15" hidden="false" customHeight="true" outlineLevel="0" collapsed="false">
      <c r="A30" s="23"/>
      <c r="B30" s="24"/>
      <c r="C30" s="23"/>
      <c r="D30" s="23"/>
      <c r="E30" s="23"/>
      <c r="F30" s="23"/>
      <c r="G30" s="23"/>
      <c r="H30" s="23"/>
      <c r="I30" s="23"/>
    </row>
    <row r="31" customFormat="false" ht="15" hidden="false" customHeight="true" outlineLevel="0" collapsed="false">
      <c r="A31" s="23"/>
      <c r="B31" s="24"/>
      <c r="C31" s="23"/>
      <c r="D31" s="23"/>
      <c r="E31" s="23"/>
      <c r="F31" s="23"/>
      <c r="G31" s="23"/>
      <c r="H31" s="23"/>
      <c r="I31" s="23"/>
    </row>
    <row r="32" customFormat="false" ht="15" hidden="false" customHeight="true" outlineLevel="0" collapsed="false">
      <c r="A32" s="23"/>
      <c r="B32" s="24"/>
      <c r="C32" s="23"/>
      <c r="D32" s="23"/>
      <c r="E32" s="23"/>
      <c r="F32" s="23"/>
      <c r="G32" s="23"/>
      <c r="H32" s="23"/>
      <c r="I32" s="23"/>
    </row>
    <row r="33" customFormat="false" ht="15" hidden="false" customHeight="true" outlineLevel="0" collapsed="false">
      <c r="A33" s="23"/>
      <c r="B33" s="24"/>
      <c r="C33" s="23"/>
      <c r="D33" s="23"/>
      <c r="E33" s="23"/>
      <c r="F33" s="23"/>
      <c r="G33" s="23"/>
      <c r="H33" s="23"/>
      <c r="I33" s="23"/>
    </row>
    <row r="34" customFormat="false" ht="15" hidden="false" customHeight="true" outlineLevel="0" collapsed="false">
      <c r="A34" s="23"/>
      <c r="B34" s="24"/>
      <c r="C34" s="23"/>
      <c r="D34" s="23"/>
      <c r="E34" s="23"/>
      <c r="F34" s="23"/>
      <c r="G34" s="23"/>
      <c r="H34" s="23"/>
      <c r="I34" s="23"/>
    </row>
    <row r="35" customFormat="false" ht="15" hidden="false" customHeight="true" outlineLevel="0" collapsed="false">
      <c r="A35" s="23"/>
      <c r="B35" s="24"/>
      <c r="C35" s="23"/>
      <c r="D35" s="23"/>
      <c r="E35" s="23"/>
      <c r="F35" s="23"/>
      <c r="G35" s="23"/>
      <c r="H35" s="23"/>
      <c r="I35" s="23"/>
    </row>
    <row r="36" customFormat="false" ht="15" hidden="false" customHeight="true" outlineLevel="0" collapsed="false">
      <c r="A36" s="23"/>
      <c r="B36" s="24"/>
      <c r="C36" s="23"/>
      <c r="D36" s="23"/>
      <c r="E36" s="23"/>
      <c r="F36" s="23"/>
      <c r="G36" s="23"/>
      <c r="H36" s="23"/>
      <c r="I36" s="23"/>
    </row>
    <row r="37" customFormat="false" ht="15" hidden="false" customHeight="true" outlineLevel="0" collapsed="false">
      <c r="A37" s="23"/>
      <c r="B37" s="24"/>
      <c r="C37" s="23"/>
      <c r="D37" s="23"/>
      <c r="E37" s="23"/>
      <c r="F37" s="23"/>
      <c r="G37" s="23"/>
      <c r="H37" s="23"/>
      <c r="I37" s="23"/>
    </row>
    <row r="38" customFormat="false" ht="15" hidden="false" customHeight="true" outlineLevel="0" collapsed="false">
      <c r="A38" s="23"/>
      <c r="B38" s="24"/>
      <c r="C38" s="23"/>
      <c r="D38" s="23"/>
      <c r="E38" s="23"/>
      <c r="F38" s="23"/>
      <c r="G38" s="23"/>
      <c r="H38" s="23"/>
      <c r="I38" s="23"/>
    </row>
    <row r="39" customFormat="false" ht="15" hidden="false" customHeight="true" outlineLevel="0" collapsed="false">
      <c r="A39" s="23"/>
      <c r="B39" s="24"/>
      <c r="C39" s="23"/>
      <c r="D39" s="23"/>
      <c r="E39" s="23"/>
      <c r="F39" s="23"/>
      <c r="G39" s="23"/>
      <c r="H39" s="23"/>
      <c r="I39" s="23"/>
    </row>
    <row r="40" customFormat="false" ht="15" hidden="false" customHeight="true" outlineLevel="0" collapsed="false">
      <c r="A40" s="23"/>
      <c r="B40" s="24"/>
      <c r="C40" s="23"/>
      <c r="D40" s="23"/>
      <c r="E40" s="23"/>
      <c r="F40" s="23"/>
      <c r="G40" s="23"/>
      <c r="H40" s="23"/>
      <c r="I40" s="23"/>
    </row>
    <row r="41" customFormat="false" ht="15" hidden="false" customHeight="true" outlineLevel="0" collapsed="false">
      <c r="A41" s="23"/>
      <c r="B41" s="24"/>
      <c r="C41" s="23"/>
      <c r="D41" s="23"/>
      <c r="E41" s="23"/>
      <c r="F41" s="23"/>
      <c r="G41" s="23"/>
      <c r="H41" s="23"/>
      <c r="I41" s="23"/>
    </row>
    <row r="42" customFormat="false" ht="15" hidden="false" customHeight="true" outlineLevel="0" collapsed="false">
      <c r="A42" s="23"/>
      <c r="B42" s="24"/>
      <c r="C42" s="23"/>
      <c r="D42" s="23"/>
      <c r="E42" s="23"/>
      <c r="F42" s="23"/>
      <c r="G42" s="23"/>
      <c r="H42" s="23"/>
      <c r="I42" s="23"/>
    </row>
    <row r="43" customFormat="false" ht="15" hidden="false" customHeight="true" outlineLevel="0" collapsed="false">
      <c r="A43" s="23"/>
      <c r="B43" s="24"/>
      <c r="C43" s="23"/>
      <c r="D43" s="23"/>
      <c r="E43" s="23"/>
      <c r="F43" s="23"/>
      <c r="G43" s="23"/>
      <c r="H43" s="23"/>
      <c r="I43" s="23"/>
    </row>
    <row r="44" customFormat="false" ht="15" hidden="false" customHeight="true" outlineLevel="0" collapsed="false">
      <c r="A44" s="23"/>
      <c r="B44" s="24"/>
      <c r="C44" s="23"/>
      <c r="D44" s="23"/>
      <c r="E44" s="23"/>
      <c r="F44" s="23"/>
      <c r="G44" s="23"/>
      <c r="H44" s="23"/>
      <c r="I44" s="23"/>
    </row>
    <row r="45" customFormat="false" ht="15" hidden="false" customHeight="true" outlineLevel="0" collapsed="false">
      <c r="A45" s="23"/>
      <c r="B45" s="24"/>
      <c r="C45" s="23"/>
      <c r="D45" s="23"/>
      <c r="E45" s="23"/>
      <c r="F45" s="23"/>
      <c r="G45" s="23"/>
      <c r="H45" s="23"/>
      <c r="I45" s="23"/>
    </row>
    <row r="46" customFormat="false" ht="15" hidden="false" customHeight="true" outlineLevel="0" collapsed="false">
      <c r="A46" s="23"/>
      <c r="B46" s="24"/>
      <c r="C46" s="23"/>
      <c r="D46" s="23"/>
      <c r="E46" s="23"/>
      <c r="F46" s="23"/>
      <c r="G46" s="23"/>
      <c r="H46" s="23"/>
      <c r="I46" s="23"/>
    </row>
    <row r="47" customFormat="false" ht="15" hidden="false" customHeight="true" outlineLevel="0" collapsed="false">
      <c r="A47" s="23"/>
      <c r="B47" s="24"/>
      <c r="C47" s="23"/>
      <c r="D47" s="23"/>
      <c r="E47" s="23"/>
      <c r="F47" s="23"/>
      <c r="G47" s="23"/>
      <c r="H47" s="23"/>
      <c r="I47" s="23"/>
    </row>
    <row r="48" customFormat="false" ht="15" hidden="false" customHeight="true" outlineLevel="0" collapsed="false">
      <c r="A48" s="23"/>
      <c r="B48" s="24"/>
      <c r="C48" s="23"/>
      <c r="D48" s="23"/>
      <c r="E48" s="23"/>
      <c r="F48" s="23"/>
      <c r="G48" s="23"/>
      <c r="H48" s="23"/>
      <c r="I48" s="23"/>
    </row>
    <row r="49" customFormat="false" ht="15" hidden="false" customHeight="true" outlineLevel="0" collapsed="false">
      <c r="A49" s="23"/>
      <c r="B49" s="24"/>
      <c r="C49" s="23"/>
      <c r="D49" s="23"/>
      <c r="E49" s="23"/>
      <c r="F49" s="23"/>
      <c r="G49" s="23"/>
      <c r="H49" s="23"/>
      <c r="I49" s="23"/>
    </row>
    <row r="50" customFormat="false" ht="15" hidden="false" customHeight="true" outlineLevel="0" collapsed="false">
      <c r="A50" s="23"/>
      <c r="B50" s="24"/>
      <c r="C50" s="23"/>
      <c r="D50" s="23"/>
      <c r="E50" s="23"/>
      <c r="F50" s="23"/>
      <c r="G50" s="23"/>
      <c r="H50" s="23"/>
      <c r="I50" s="23"/>
    </row>
    <row r="51" customFormat="false" ht="15" hidden="false" customHeight="true" outlineLevel="0" collapsed="false">
      <c r="A51" s="23"/>
      <c r="B51" s="24"/>
      <c r="C51" s="23"/>
      <c r="D51" s="23"/>
      <c r="E51" s="23"/>
      <c r="F51" s="23"/>
      <c r="G51" s="23"/>
      <c r="H51" s="23"/>
      <c r="I51" s="23"/>
    </row>
    <row r="52" customFormat="false" ht="15" hidden="false" customHeight="true" outlineLevel="0" collapsed="false">
      <c r="A52" s="23"/>
      <c r="B52" s="24"/>
      <c r="C52" s="23"/>
      <c r="D52" s="23"/>
      <c r="E52" s="23"/>
      <c r="F52" s="23"/>
      <c r="G52" s="23"/>
      <c r="H52" s="23"/>
      <c r="I52" s="23"/>
    </row>
    <row r="53" customFormat="false" ht="15" hidden="false" customHeight="true" outlineLevel="0" collapsed="false">
      <c r="A53" s="23"/>
      <c r="B53" s="24"/>
      <c r="C53" s="23"/>
      <c r="D53" s="23"/>
      <c r="E53" s="23"/>
      <c r="F53" s="23"/>
      <c r="G53" s="23"/>
      <c r="H53" s="23"/>
      <c r="I53" s="23"/>
    </row>
    <row r="54" customFormat="false" ht="15" hidden="false" customHeight="true" outlineLevel="0" collapsed="false">
      <c r="A54" s="23"/>
      <c r="B54" s="24"/>
      <c r="C54" s="23"/>
      <c r="D54" s="23"/>
      <c r="E54" s="23"/>
      <c r="F54" s="23"/>
      <c r="G54" s="23"/>
      <c r="H54" s="23"/>
      <c r="I54" s="23"/>
    </row>
    <row r="55" customFormat="false" ht="15" hidden="false" customHeight="true" outlineLevel="0" collapsed="false">
      <c r="A55" s="23"/>
      <c r="B55" s="24"/>
      <c r="C55" s="23"/>
      <c r="D55" s="23"/>
      <c r="E55" s="23"/>
      <c r="F55" s="23"/>
      <c r="G55" s="23"/>
      <c r="H55" s="23"/>
      <c r="I55" s="23"/>
    </row>
    <row r="56" customFormat="false" ht="15" hidden="false" customHeight="true" outlineLevel="0" collapsed="false">
      <c r="A56" s="23"/>
      <c r="B56" s="24"/>
      <c r="C56" s="23"/>
      <c r="D56" s="23"/>
      <c r="E56" s="23"/>
      <c r="F56" s="23"/>
      <c r="G56" s="23"/>
      <c r="H56" s="23"/>
      <c r="I56" s="23"/>
    </row>
    <row r="57" customFormat="false" ht="15" hidden="false" customHeight="true" outlineLevel="0" collapsed="false">
      <c r="A57" s="23"/>
      <c r="B57" s="24"/>
      <c r="C57" s="23"/>
      <c r="D57" s="23"/>
      <c r="E57" s="23"/>
      <c r="F57" s="23"/>
      <c r="G57" s="23"/>
      <c r="H57" s="23"/>
      <c r="I57" s="23"/>
    </row>
    <row r="58" customFormat="false" ht="15" hidden="false" customHeight="true" outlineLevel="0" collapsed="false">
      <c r="A58" s="23"/>
      <c r="B58" s="24"/>
      <c r="C58" s="23"/>
      <c r="D58" s="23"/>
      <c r="E58" s="23"/>
      <c r="F58" s="23"/>
      <c r="G58" s="23"/>
      <c r="H58" s="23"/>
      <c r="I58" s="23"/>
    </row>
    <row r="59" customFormat="false" ht="15" hidden="false" customHeight="true" outlineLevel="0" collapsed="false">
      <c r="A59" s="23"/>
      <c r="B59" s="24"/>
      <c r="C59" s="23"/>
      <c r="D59" s="23"/>
      <c r="E59" s="23"/>
      <c r="F59" s="23"/>
      <c r="G59" s="23"/>
      <c r="H59" s="23"/>
      <c r="I59" s="23"/>
    </row>
    <row r="60" customFormat="false" ht="15" hidden="false" customHeight="true" outlineLevel="0" collapsed="false">
      <c r="A60" s="23"/>
      <c r="B60" s="24"/>
      <c r="C60" s="23"/>
      <c r="D60" s="23"/>
      <c r="E60" s="23"/>
      <c r="F60" s="23"/>
      <c r="G60" s="23"/>
      <c r="H60" s="23"/>
      <c r="I60" s="23"/>
    </row>
    <row r="61" customFormat="false" ht="15" hidden="false" customHeight="true" outlineLevel="0" collapsed="false">
      <c r="A61" s="23"/>
      <c r="B61" s="24"/>
      <c r="C61" s="23"/>
      <c r="D61" s="23"/>
      <c r="E61" s="23"/>
      <c r="F61" s="23"/>
      <c r="G61" s="23"/>
      <c r="H61" s="23"/>
      <c r="I61" s="23"/>
    </row>
    <row r="62" customFormat="false" ht="15" hidden="false" customHeight="true" outlineLevel="0" collapsed="false">
      <c r="A62" s="23"/>
      <c r="B62" s="24"/>
      <c r="C62" s="23"/>
      <c r="D62" s="23"/>
      <c r="E62" s="23"/>
      <c r="F62" s="23"/>
      <c r="G62" s="23"/>
      <c r="H62" s="23"/>
      <c r="I62" s="23"/>
    </row>
    <row r="63" customFormat="false" ht="15" hidden="false" customHeight="true" outlineLevel="0" collapsed="false">
      <c r="A63" s="23"/>
      <c r="B63" s="24"/>
      <c r="C63" s="23"/>
      <c r="D63" s="23"/>
      <c r="E63" s="23"/>
      <c r="F63" s="23"/>
      <c r="G63" s="23"/>
      <c r="H63" s="23"/>
      <c r="I63" s="23"/>
    </row>
    <row r="64" customFormat="false" ht="15" hidden="false" customHeight="true" outlineLevel="0" collapsed="false">
      <c r="A64" s="23"/>
      <c r="B64" s="24"/>
      <c r="C64" s="23"/>
      <c r="D64" s="23"/>
      <c r="E64" s="23"/>
      <c r="F64" s="23"/>
      <c r="G64" s="23"/>
      <c r="H64" s="23"/>
      <c r="I64" s="23"/>
    </row>
    <row r="65" customFormat="false" ht="15" hidden="false" customHeight="true" outlineLevel="0" collapsed="false">
      <c r="A65" s="23"/>
      <c r="B65" s="24"/>
      <c r="C65" s="23"/>
      <c r="D65" s="23"/>
      <c r="E65" s="23"/>
      <c r="F65" s="23"/>
      <c r="G65" s="23"/>
      <c r="H65" s="23"/>
      <c r="I65" s="23"/>
    </row>
    <row r="66" customFormat="false" ht="15" hidden="false" customHeight="true" outlineLevel="0" collapsed="false">
      <c r="A66" s="23"/>
      <c r="B66" s="24"/>
      <c r="C66" s="23"/>
      <c r="D66" s="23"/>
      <c r="E66" s="23"/>
      <c r="F66" s="23"/>
      <c r="G66" s="23"/>
      <c r="H66" s="23"/>
      <c r="I66" s="23"/>
    </row>
    <row r="67" customFormat="false" ht="15" hidden="false" customHeight="true" outlineLevel="0" collapsed="false">
      <c r="A67" s="23"/>
      <c r="B67" s="24"/>
      <c r="C67" s="23"/>
      <c r="D67" s="23"/>
      <c r="E67" s="23"/>
      <c r="F67" s="23"/>
      <c r="G67" s="23"/>
      <c r="H67" s="23"/>
      <c r="I67" s="23"/>
    </row>
    <row r="68" customFormat="false" ht="15" hidden="false" customHeight="true" outlineLevel="0" collapsed="false">
      <c r="A68" s="23"/>
      <c r="B68" s="24"/>
      <c r="C68" s="23"/>
      <c r="D68" s="23"/>
      <c r="E68" s="23"/>
      <c r="F68" s="23"/>
      <c r="G68" s="23"/>
      <c r="H68" s="23"/>
      <c r="I68" s="23"/>
    </row>
    <row r="69" customFormat="false" ht="15" hidden="false" customHeight="true" outlineLevel="0" collapsed="false">
      <c r="A69" s="23"/>
      <c r="B69" s="24"/>
      <c r="C69" s="23"/>
      <c r="D69" s="23"/>
      <c r="E69" s="23"/>
      <c r="F69" s="23"/>
      <c r="G69" s="23"/>
      <c r="H69" s="23"/>
      <c r="I69" s="23"/>
    </row>
    <row r="70" customFormat="false" ht="15" hidden="false" customHeight="true" outlineLevel="0" collapsed="false">
      <c r="A70" s="23"/>
      <c r="B70" s="24"/>
      <c r="C70" s="23"/>
      <c r="D70" s="23"/>
      <c r="E70" s="23"/>
      <c r="F70" s="23"/>
      <c r="G70" s="23"/>
      <c r="H70" s="23"/>
      <c r="I70" s="23"/>
    </row>
    <row r="71" customFormat="false" ht="15" hidden="false" customHeight="true" outlineLevel="0" collapsed="false">
      <c r="A71" s="23"/>
      <c r="B71" s="24"/>
      <c r="C71" s="23"/>
      <c r="D71" s="23"/>
      <c r="E71" s="23"/>
      <c r="F71" s="23"/>
      <c r="G71" s="23"/>
      <c r="H71" s="23"/>
      <c r="I71" s="23"/>
    </row>
    <row r="72" customFormat="false" ht="15" hidden="false" customHeight="true" outlineLevel="0" collapsed="false">
      <c r="A72" s="23"/>
      <c r="B72" s="24"/>
      <c r="C72" s="23"/>
      <c r="D72" s="23"/>
      <c r="E72" s="23"/>
      <c r="F72" s="23"/>
      <c r="G72" s="23"/>
      <c r="H72" s="23"/>
      <c r="I72" s="23"/>
    </row>
    <row r="73" customFormat="false" ht="15" hidden="false" customHeight="true" outlineLevel="0" collapsed="false">
      <c r="A73" s="23"/>
      <c r="B73" s="24"/>
      <c r="C73" s="23"/>
      <c r="D73" s="23"/>
      <c r="E73" s="23"/>
      <c r="F73" s="23"/>
      <c r="G73" s="23"/>
      <c r="H73" s="23"/>
      <c r="I73" s="23"/>
    </row>
    <row r="74" customFormat="false" ht="15" hidden="false" customHeight="true" outlineLevel="0" collapsed="false">
      <c r="A74" s="23"/>
      <c r="B74" s="24"/>
      <c r="C74" s="23"/>
      <c r="D74" s="23"/>
      <c r="E74" s="23"/>
      <c r="F74" s="23"/>
      <c r="G74" s="23"/>
      <c r="H74" s="23"/>
      <c r="I74" s="23"/>
    </row>
    <row r="75" customFormat="false" ht="15" hidden="false" customHeight="true" outlineLevel="0" collapsed="false">
      <c r="A75" s="23"/>
      <c r="B75" s="24"/>
      <c r="C75" s="23"/>
      <c r="D75" s="23"/>
      <c r="E75" s="23"/>
      <c r="F75" s="23"/>
      <c r="G75" s="23"/>
      <c r="H75" s="23"/>
      <c r="I75" s="23"/>
    </row>
    <row r="76" customFormat="false" ht="15" hidden="false" customHeight="true" outlineLevel="0" collapsed="false">
      <c r="A76" s="23"/>
      <c r="B76" s="24"/>
      <c r="C76" s="23"/>
      <c r="D76" s="23"/>
      <c r="E76" s="23"/>
      <c r="F76" s="23"/>
      <c r="G76" s="23"/>
      <c r="H76" s="23"/>
      <c r="I76" s="23"/>
    </row>
    <row r="77" customFormat="false" ht="15" hidden="false" customHeight="true" outlineLevel="0" collapsed="false">
      <c r="A77" s="23"/>
      <c r="B77" s="24"/>
      <c r="C77" s="23"/>
      <c r="D77" s="23"/>
      <c r="E77" s="23"/>
      <c r="F77" s="23"/>
      <c r="G77" s="23"/>
      <c r="H77" s="23"/>
      <c r="I77" s="23"/>
    </row>
    <row r="78" customFormat="false" ht="15" hidden="false" customHeight="true" outlineLevel="0" collapsed="false">
      <c r="A78" s="23"/>
      <c r="B78" s="24"/>
      <c r="C78" s="23"/>
      <c r="D78" s="23"/>
      <c r="E78" s="23"/>
      <c r="F78" s="23"/>
      <c r="G78" s="23"/>
      <c r="H78" s="23"/>
      <c r="I78" s="23"/>
    </row>
    <row r="79" customFormat="false" ht="15" hidden="false" customHeight="true" outlineLevel="0" collapsed="false">
      <c r="A79" s="23"/>
      <c r="B79" s="24"/>
      <c r="C79" s="23"/>
      <c r="D79" s="23"/>
      <c r="E79" s="23"/>
      <c r="F79" s="23"/>
      <c r="G79" s="23"/>
      <c r="H79" s="23"/>
      <c r="I79" s="23"/>
    </row>
    <row r="80" customFormat="false" ht="15" hidden="false" customHeight="true" outlineLevel="0" collapsed="false">
      <c r="A80" s="23"/>
      <c r="B80" s="24"/>
      <c r="C80" s="23"/>
      <c r="D80" s="23"/>
      <c r="E80" s="23"/>
      <c r="F80" s="23"/>
      <c r="G80" s="23"/>
      <c r="H80" s="23"/>
      <c r="I80" s="23"/>
    </row>
    <row r="81" customFormat="false" ht="15" hidden="false" customHeight="true" outlineLevel="0" collapsed="false">
      <c r="A81" s="23"/>
      <c r="B81" s="24"/>
      <c r="C81" s="23"/>
      <c r="D81" s="23"/>
      <c r="E81" s="23"/>
      <c r="F81" s="23"/>
      <c r="G81" s="23"/>
      <c r="H81" s="23"/>
      <c r="I81" s="23"/>
    </row>
    <row r="82" customFormat="false" ht="15" hidden="false" customHeight="true" outlineLevel="0" collapsed="false">
      <c r="A82" s="23"/>
      <c r="B82" s="24"/>
      <c r="C82" s="23"/>
      <c r="D82" s="23"/>
      <c r="E82" s="23"/>
      <c r="F82" s="23"/>
      <c r="G82" s="23"/>
      <c r="H82" s="23"/>
      <c r="I82" s="23"/>
    </row>
    <row r="83" customFormat="false" ht="15" hidden="false" customHeight="true" outlineLevel="0" collapsed="false">
      <c r="A83" s="23"/>
      <c r="B83" s="24"/>
      <c r="C83" s="23"/>
      <c r="D83" s="23"/>
      <c r="E83" s="23"/>
      <c r="F83" s="23"/>
      <c r="G83" s="23"/>
      <c r="H83" s="23"/>
      <c r="I83" s="23"/>
    </row>
    <row r="84" customFormat="false" ht="15" hidden="false" customHeight="true" outlineLevel="0" collapsed="false">
      <c r="A84" s="23"/>
      <c r="B84" s="24"/>
      <c r="C84" s="23"/>
      <c r="D84" s="23"/>
      <c r="E84" s="23"/>
      <c r="F84" s="23"/>
      <c r="G84" s="23"/>
      <c r="H84" s="23"/>
      <c r="I84" s="23"/>
    </row>
    <row r="85" customFormat="false" ht="15" hidden="false" customHeight="true" outlineLevel="0" collapsed="false">
      <c r="A85" s="23"/>
      <c r="B85" s="24"/>
      <c r="C85" s="23"/>
      <c r="D85" s="23"/>
      <c r="E85" s="23"/>
      <c r="F85" s="23"/>
      <c r="G85" s="23"/>
      <c r="H85" s="23"/>
      <c r="I85" s="23"/>
    </row>
    <row r="86" customFormat="false" ht="15" hidden="false" customHeight="true" outlineLevel="0" collapsed="false">
      <c r="A86" s="23"/>
      <c r="B86" s="24"/>
      <c r="C86" s="23"/>
      <c r="D86" s="23"/>
      <c r="E86" s="23"/>
      <c r="F86" s="23"/>
      <c r="G86" s="23"/>
      <c r="H86" s="23"/>
      <c r="I86" s="23"/>
    </row>
    <row r="87" customFormat="false" ht="15" hidden="false" customHeight="true" outlineLevel="0" collapsed="false">
      <c r="A87" s="23"/>
      <c r="B87" s="24"/>
      <c r="C87" s="23"/>
      <c r="D87" s="23"/>
      <c r="E87" s="23"/>
      <c r="F87" s="23"/>
      <c r="G87" s="23"/>
      <c r="H87" s="23"/>
      <c r="I87" s="23"/>
    </row>
    <row r="88" customFormat="false" ht="15" hidden="false" customHeight="true" outlineLevel="0" collapsed="false">
      <c r="A88" s="23"/>
      <c r="B88" s="24"/>
      <c r="C88" s="23"/>
      <c r="D88" s="23"/>
      <c r="E88" s="23"/>
      <c r="F88" s="23"/>
      <c r="G88" s="23"/>
      <c r="H88" s="23"/>
      <c r="I88" s="23"/>
    </row>
    <row r="89" customFormat="false" ht="15" hidden="false" customHeight="true" outlineLevel="0" collapsed="false">
      <c r="A89" s="23"/>
      <c r="B89" s="24"/>
      <c r="C89" s="23"/>
      <c r="D89" s="23"/>
      <c r="E89" s="23"/>
      <c r="F89" s="23"/>
      <c r="G89" s="23"/>
      <c r="H89" s="23"/>
      <c r="I89" s="23"/>
    </row>
    <row r="90" customFormat="false" ht="15" hidden="false" customHeight="true" outlineLevel="0" collapsed="false">
      <c r="A90" s="23"/>
      <c r="B90" s="24"/>
      <c r="C90" s="23"/>
      <c r="D90" s="23"/>
      <c r="E90" s="23"/>
      <c r="F90" s="23"/>
      <c r="G90" s="23"/>
      <c r="H90" s="23"/>
      <c r="I90" s="23"/>
    </row>
    <row r="91" customFormat="false" ht="15" hidden="false" customHeight="true" outlineLevel="0" collapsed="false">
      <c r="A91" s="23"/>
      <c r="B91" s="24"/>
      <c r="C91" s="23"/>
      <c r="D91" s="23"/>
      <c r="E91" s="23"/>
      <c r="F91" s="23"/>
      <c r="G91" s="23"/>
      <c r="H91" s="23"/>
      <c r="I91" s="23"/>
    </row>
    <row r="92" customFormat="false" ht="15" hidden="false" customHeight="true" outlineLevel="0" collapsed="false">
      <c r="A92" s="23"/>
      <c r="B92" s="24"/>
      <c r="C92" s="23"/>
      <c r="D92" s="23"/>
      <c r="E92" s="23"/>
      <c r="F92" s="23"/>
      <c r="G92" s="23"/>
      <c r="H92" s="23"/>
      <c r="I92" s="23"/>
    </row>
    <row r="93" customFormat="false" ht="15" hidden="false" customHeight="true" outlineLevel="0" collapsed="false">
      <c r="A93" s="23"/>
      <c r="B93" s="24"/>
      <c r="C93" s="23"/>
      <c r="D93" s="23"/>
      <c r="E93" s="23"/>
      <c r="F93" s="23"/>
      <c r="G93" s="23"/>
      <c r="H93" s="23"/>
      <c r="I93" s="23"/>
    </row>
    <row r="94" customFormat="false" ht="15" hidden="false" customHeight="true" outlineLevel="0" collapsed="false">
      <c r="A94" s="23"/>
      <c r="B94" s="24"/>
      <c r="C94" s="23"/>
      <c r="D94" s="23"/>
      <c r="E94" s="23"/>
      <c r="F94" s="23"/>
      <c r="G94" s="23"/>
      <c r="H94" s="23"/>
      <c r="I94" s="23"/>
    </row>
    <row r="95" customFormat="false" ht="15" hidden="false" customHeight="true" outlineLevel="0" collapsed="false">
      <c r="A95" s="23"/>
      <c r="B95" s="24"/>
      <c r="C95" s="23"/>
      <c r="D95" s="23"/>
      <c r="E95" s="23"/>
      <c r="F95" s="23"/>
      <c r="G95" s="23"/>
      <c r="H95" s="23"/>
      <c r="I95" s="23"/>
    </row>
    <row r="96" customFormat="false" ht="15" hidden="false" customHeight="true" outlineLevel="0" collapsed="false">
      <c r="A96" s="23"/>
      <c r="B96" s="24"/>
      <c r="C96" s="23"/>
      <c r="D96" s="23"/>
      <c r="E96" s="23"/>
      <c r="F96" s="23"/>
      <c r="G96" s="23"/>
      <c r="H96" s="23"/>
      <c r="I96" s="23"/>
    </row>
    <row r="97" customFormat="false" ht="15" hidden="false" customHeight="true" outlineLevel="0" collapsed="false">
      <c r="A97" s="23"/>
      <c r="B97" s="24"/>
      <c r="C97" s="23"/>
      <c r="D97" s="23"/>
      <c r="E97" s="23"/>
      <c r="F97" s="23"/>
      <c r="G97" s="23"/>
      <c r="H97" s="23"/>
      <c r="I97" s="23"/>
    </row>
    <row r="98" customFormat="false" ht="15" hidden="false" customHeight="true" outlineLevel="0" collapsed="false">
      <c r="A98" s="23"/>
      <c r="B98" s="24"/>
      <c r="C98" s="23"/>
      <c r="D98" s="23"/>
      <c r="E98" s="23"/>
      <c r="F98" s="23"/>
      <c r="G98" s="23"/>
      <c r="H98" s="23"/>
      <c r="I98" s="23"/>
    </row>
    <row r="99" customFormat="false" ht="15" hidden="false" customHeight="true" outlineLevel="0" collapsed="false">
      <c r="A99" s="23"/>
      <c r="B99" s="24"/>
      <c r="C99" s="23"/>
      <c r="D99" s="23"/>
      <c r="E99" s="23"/>
      <c r="F99" s="23"/>
      <c r="G99" s="23"/>
      <c r="H99" s="23"/>
      <c r="I99" s="23"/>
    </row>
    <row r="100" customFormat="false" ht="15" hidden="false" customHeight="true" outlineLevel="0" collapsed="false">
      <c r="A100" s="23"/>
      <c r="B100" s="24"/>
      <c r="C100" s="23"/>
      <c r="D100" s="23"/>
      <c r="E100" s="23"/>
      <c r="F100" s="23"/>
      <c r="G100" s="23"/>
      <c r="H100" s="23"/>
      <c r="I100" s="23"/>
    </row>
    <row r="101" customFormat="false" ht="15" hidden="false" customHeight="true" outlineLevel="0" collapsed="false">
      <c r="A101" s="23"/>
      <c r="B101" s="24"/>
      <c r="C101" s="23"/>
      <c r="D101" s="23"/>
      <c r="E101" s="23"/>
      <c r="F101" s="23"/>
      <c r="G101" s="23"/>
      <c r="H101" s="23"/>
      <c r="I101" s="23"/>
    </row>
    <row r="102" customFormat="false" ht="15" hidden="false" customHeight="true" outlineLevel="0" collapsed="false">
      <c r="A102" s="23"/>
      <c r="B102" s="24"/>
      <c r="C102" s="23"/>
      <c r="D102" s="23"/>
      <c r="E102" s="23"/>
      <c r="F102" s="23"/>
      <c r="G102" s="23"/>
      <c r="H102" s="23"/>
      <c r="I102" s="23"/>
    </row>
    <row r="103" customFormat="false" ht="15" hidden="false" customHeight="true" outlineLevel="0" collapsed="false">
      <c r="A103" s="23"/>
      <c r="B103" s="24"/>
      <c r="C103" s="23"/>
      <c r="D103" s="23"/>
      <c r="E103" s="23"/>
      <c r="F103" s="23"/>
      <c r="G103" s="23"/>
      <c r="H103" s="23"/>
      <c r="I103" s="23"/>
    </row>
    <row r="104" customFormat="false" ht="15" hidden="false" customHeight="true" outlineLevel="0" collapsed="false">
      <c r="A104" s="23"/>
      <c r="B104" s="24"/>
      <c r="C104" s="23"/>
      <c r="D104" s="23"/>
      <c r="E104" s="23"/>
      <c r="F104" s="23"/>
      <c r="G104" s="23"/>
      <c r="H104" s="23"/>
      <c r="I104" s="23"/>
    </row>
    <row r="105" customFormat="false" ht="15" hidden="false" customHeight="true" outlineLevel="0" collapsed="false">
      <c r="A105" s="23"/>
      <c r="B105" s="24"/>
      <c r="C105" s="23"/>
      <c r="D105" s="23"/>
      <c r="E105" s="23"/>
      <c r="F105" s="23"/>
      <c r="G105" s="23"/>
      <c r="H105" s="23"/>
      <c r="I105" s="23"/>
    </row>
    <row r="106" customFormat="false" ht="15" hidden="false" customHeight="true" outlineLevel="0" collapsed="false">
      <c r="A106" s="23"/>
      <c r="B106" s="24"/>
      <c r="C106" s="23"/>
      <c r="D106" s="23"/>
      <c r="E106" s="23"/>
      <c r="F106" s="23"/>
      <c r="G106" s="23"/>
      <c r="H106" s="23"/>
      <c r="I106" s="23"/>
    </row>
    <row r="107" customFormat="false" ht="15" hidden="false" customHeight="true" outlineLevel="0" collapsed="false">
      <c r="A107" s="23"/>
      <c r="B107" s="24"/>
      <c r="C107" s="23"/>
      <c r="D107" s="23"/>
      <c r="E107" s="23"/>
      <c r="F107" s="23"/>
      <c r="G107" s="23"/>
      <c r="H107" s="23"/>
      <c r="I107" s="23"/>
    </row>
    <row r="108" customFormat="false" ht="15" hidden="false" customHeight="true" outlineLevel="0" collapsed="false">
      <c r="A108" s="23"/>
      <c r="B108" s="24"/>
      <c r="C108" s="23"/>
      <c r="D108" s="23"/>
      <c r="E108" s="23"/>
      <c r="F108" s="23"/>
      <c r="G108" s="23"/>
      <c r="H108" s="23"/>
      <c r="I108" s="23"/>
    </row>
    <row r="109" customFormat="false" ht="15" hidden="false" customHeight="true" outlineLevel="0" collapsed="false">
      <c r="A109" s="23"/>
      <c r="B109" s="24"/>
      <c r="C109" s="23"/>
      <c r="D109" s="23"/>
      <c r="E109" s="23"/>
      <c r="F109" s="23"/>
      <c r="G109" s="23"/>
      <c r="H109" s="23"/>
      <c r="I109" s="23"/>
    </row>
    <row r="110" customFormat="false" ht="15" hidden="false" customHeight="true" outlineLevel="0" collapsed="false">
      <c r="A110" s="23"/>
      <c r="B110" s="24"/>
      <c r="C110" s="23"/>
      <c r="D110" s="23"/>
      <c r="E110" s="23"/>
      <c r="F110" s="23"/>
      <c r="G110" s="23"/>
      <c r="H110" s="23"/>
      <c r="I110" s="23"/>
    </row>
    <row r="111" customFormat="false" ht="15" hidden="false" customHeight="true" outlineLevel="0" collapsed="false">
      <c r="A111" s="23"/>
      <c r="B111" s="24"/>
      <c r="C111" s="23"/>
      <c r="D111" s="23"/>
      <c r="E111" s="23"/>
      <c r="F111" s="23"/>
      <c r="G111" s="23"/>
      <c r="H111" s="23"/>
      <c r="I111" s="23"/>
    </row>
    <row r="112" customFormat="false" ht="15" hidden="false" customHeight="true" outlineLevel="0" collapsed="false">
      <c r="A112" s="23"/>
      <c r="B112" s="24"/>
      <c r="C112" s="23"/>
      <c r="D112" s="23"/>
      <c r="E112" s="23"/>
      <c r="F112" s="23"/>
      <c r="G112" s="23"/>
      <c r="H112" s="23"/>
      <c r="I112" s="23"/>
    </row>
    <row r="113" customFormat="false" ht="15" hidden="false" customHeight="true" outlineLevel="0" collapsed="false">
      <c r="A113" s="23"/>
      <c r="B113" s="24"/>
      <c r="C113" s="23"/>
      <c r="D113" s="23"/>
      <c r="E113" s="23"/>
      <c r="F113" s="23"/>
      <c r="G113" s="23"/>
      <c r="H113" s="23"/>
      <c r="I113" s="23"/>
    </row>
    <row r="114" customFormat="false" ht="15" hidden="false" customHeight="true" outlineLevel="0" collapsed="false">
      <c r="A114" s="23"/>
      <c r="B114" s="24"/>
      <c r="C114" s="23"/>
      <c r="D114" s="23"/>
      <c r="E114" s="23"/>
      <c r="F114" s="23"/>
      <c r="G114" s="23"/>
      <c r="H114" s="23"/>
      <c r="I114" s="23"/>
    </row>
    <row r="115" customFormat="false" ht="15" hidden="false" customHeight="true" outlineLevel="0" collapsed="false">
      <c r="A115" s="23"/>
      <c r="B115" s="24"/>
      <c r="C115" s="23"/>
      <c r="D115" s="23"/>
      <c r="E115" s="23"/>
      <c r="F115" s="23"/>
      <c r="G115" s="23"/>
      <c r="H115" s="23"/>
      <c r="I115" s="23"/>
    </row>
    <row r="116" customFormat="false" ht="15" hidden="false" customHeight="true" outlineLevel="0" collapsed="false">
      <c r="A116" s="23"/>
      <c r="B116" s="24"/>
      <c r="C116" s="23"/>
      <c r="D116" s="23"/>
      <c r="E116" s="23"/>
      <c r="F116" s="23"/>
      <c r="G116" s="23"/>
      <c r="H116" s="23"/>
      <c r="I116" s="23"/>
    </row>
    <row r="117" customFormat="false" ht="15" hidden="false" customHeight="true" outlineLevel="0" collapsed="false">
      <c r="A117" s="23"/>
      <c r="B117" s="24"/>
      <c r="C117" s="23"/>
      <c r="D117" s="23"/>
      <c r="E117" s="23"/>
      <c r="F117" s="23"/>
      <c r="G117" s="23"/>
      <c r="H117" s="23"/>
      <c r="I117" s="23"/>
    </row>
    <row r="118" customFormat="false" ht="15" hidden="false" customHeight="true" outlineLevel="0" collapsed="false">
      <c r="A118" s="23"/>
      <c r="B118" s="24"/>
      <c r="C118" s="23"/>
      <c r="D118" s="23"/>
      <c r="E118" s="23"/>
      <c r="F118" s="23"/>
      <c r="G118" s="23"/>
      <c r="H118" s="23"/>
      <c r="I118" s="23"/>
    </row>
    <row r="119" customFormat="false" ht="15" hidden="false" customHeight="true" outlineLevel="0" collapsed="false">
      <c r="A119" s="23"/>
      <c r="B119" s="24"/>
      <c r="C119" s="23"/>
      <c r="D119" s="23"/>
      <c r="E119" s="23"/>
      <c r="F119" s="23"/>
      <c r="G119" s="23"/>
      <c r="H119" s="23"/>
      <c r="I119" s="23"/>
    </row>
    <row r="120" customFormat="false" ht="15" hidden="false" customHeight="true" outlineLevel="0" collapsed="false">
      <c r="A120" s="23"/>
      <c r="B120" s="24"/>
      <c r="C120" s="23"/>
      <c r="D120" s="23"/>
      <c r="E120" s="23"/>
      <c r="F120" s="23"/>
      <c r="G120" s="23"/>
      <c r="H120" s="23"/>
      <c r="I120" s="23"/>
    </row>
    <row r="121" customFormat="false" ht="15" hidden="false" customHeight="true" outlineLevel="0" collapsed="false">
      <c r="A121" s="23"/>
      <c r="B121" s="24"/>
      <c r="C121" s="23"/>
      <c r="D121" s="23"/>
      <c r="E121" s="23"/>
      <c r="F121" s="23"/>
      <c r="G121" s="23"/>
      <c r="H121" s="23"/>
      <c r="I121" s="23"/>
    </row>
    <row r="122" customFormat="false" ht="15" hidden="false" customHeight="true" outlineLevel="0" collapsed="false">
      <c r="A122" s="23"/>
      <c r="B122" s="24"/>
      <c r="C122" s="23"/>
      <c r="D122" s="23"/>
      <c r="E122" s="23"/>
      <c r="F122" s="23"/>
      <c r="G122" s="23"/>
      <c r="H122" s="23"/>
      <c r="I122" s="23"/>
    </row>
    <row r="123" customFormat="false" ht="15" hidden="false" customHeight="true" outlineLevel="0" collapsed="false">
      <c r="A123" s="23"/>
      <c r="B123" s="24"/>
      <c r="C123" s="23"/>
      <c r="D123" s="23"/>
      <c r="E123" s="23"/>
      <c r="F123" s="23"/>
      <c r="G123" s="23"/>
      <c r="H123" s="23"/>
      <c r="I123" s="23"/>
    </row>
    <row r="124" customFormat="false" ht="15" hidden="false" customHeight="true" outlineLevel="0" collapsed="false">
      <c r="A124" s="23"/>
      <c r="B124" s="24"/>
      <c r="C124" s="23"/>
      <c r="D124" s="23"/>
      <c r="E124" s="23"/>
      <c r="F124" s="23"/>
      <c r="G124" s="23"/>
      <c r="H124" s="23"/>
      <c r="I124" s="23"/>
    </row>
    <row r="125" customFormat="false" ht="15" hidden="false" customHeight="true" outlineLevel="0" collapsed="false">
      <c r="A125" s="23"/>
      <c r="B125" s="24"/>
      <c r="C125" s="23"/>
      <c r="D125" s="23"/>
      <c r="E125" s="23"/>
      <c r="F125" s="23"/>
      <c r="G125" s="23"/>
      <c r="H125" s="23"/>
      <c r="I125" s="23"/>
    </row>
    <row r="126" customFormat="false" ht="15" hidden="false" customHeight="true" outlineLevel="0" collapsed="false">
      <c r="A126" s="23"/>
      <c r="B126" s="24"/>
      <c r="C126" s="23"/>
      <c r="D126" s="23"/>
      <c r="E126" s="23"/>
      <c r="F126" s="23"/>
      <c r="G126" s="23"/>
      <c r="H126" s="23"/>
      <c r="I126" s="23"/>
    </row>
    <row r="127" customFormat="false" ht="15" hidden="false" customHeight="true" outlineLevel="0" collapsed="false">
      <c r="A127" s="23"/>
      <c r="B127" s="24"/>
      <c r="C127" s="23"/>
      <c r="D127" s="23"/>
      <c r="E127" s="23"/>
      <c r="F127" s="23"/>
      <c r="G127" s="23"/>
      <c r="H127" s="23"/>
      <c r="I127" s="23"/>
    </row>
    <row r="128" customFormat="false" ht="15" hidden="false" customHeight="true" outlineLevel="0" collapsed="false">
      <c r="A128" s="23"/>
      <c r="B128" s="24"/>
      <c r="C128" s="23"/>
      <c r="D128" s="23"/>
      <c r="E128" s="23"/>
      <c r="F128" s="23"/>
      <c r="G128" s="23"/>
      <c r="H128" s="23"/>
      <c r="I128" s="23"/>
    </row>
    <row r="129" customFormat="false" ht="15" hidden="false" customHeight="true" outlineLevel="0" collapsed="false">
      <c r="A129" s="23"/>
      <c r="B129" s="24"/>
      <c r="C129" s="23"/>
      <c r="D129" s="23"/>
      <c r="E129" s="23"/>
      <c r="F129" s="23"/>
      <c r="G129" s="23"/>
      <c r="H129" s="23"/>
      <c r="I129" s="23"/>
    </row>
    <row r="130" customFormat="false" ht="15" hidden="false" customHeight="true" outlineLevel="0" collapsed="false">
      <c r="A130" s="23"/>
      <c r="B130" s="24"/>
      <c r="C130" s="23"/>
      <c r="D130" s="23"/>
      <c r="E130" s="23"/>
      <c r="F130" s="23"/>
      <c r="G130" s="23"/>
      <c r="H130" s="23"/>
      <c r="I130" s="23"/>
    </row>
    <row r="131" customFormat="false" ht="15" hidden="false" customHeight="true" outlineLevel="0" collapsed="false">
      <c r="A131" s="23"/>
      <c r="B131" s="24"/>
      <c r="C131" s="23"/>
      <c r="D131" s="23"/>
      <c r="E131" s="23"/>
      <c r="F131" s="23"/>
      <c r="G131" s="23"/>
      <c r="H131" s="23"/>
      <c r="I131" s="23"/>
    </row>
    <row r="132" customFormat="false" ht="15" hidden="false" customHeight="true" outlineLevel="0" collapsed="false">
      <c r="A132" s="23"/>
      <c r="B132" s="24"/>
      <c r="C132" s="23"/>
      <c r="D132" s="23"/>
      <c r="E132" s="23"/>
      <c r="F132" s="23"/>
      <c r="G132" s="23"/>
      <c r="H132" s="23"/>
      <c r="I132" s="23"/>
    </row>
    <row r="133" customFormat="false" ht="15" hidden="false" customHeight="true" outlineLevel="0" collapsed="false">
      <c r="A133" s="23"/>
      <c r="B133" s="24"/>
      <c r="C133" s="23"/>
      <c r="D133" s="23"/>
      <c r="E133" s="23"/>
      <c r="F133" s="23"/>
      <c r="G133" s="23"/>
      <c r="H133" s="23"/>
      <c r="I133" s="23"/>
    </row>
    <row r="134" customFormat="false" ht="15" hidden="false" customHeight="true" outlineLevel="0" collapsed="false">
      <c r="A134" s="23"/>
      <c r="B134" s="24"/>
      <c r="C134" s="23"/>
      <c r="D134" s="23"/>
      <c r="E134" s="23"/>
      <c r="F134" s="23"/>
      <c r="G134" s="23"/>
      <c r="H134" s="23"/>
      <c r="I134" s="23"/>
    </row>
    <row r="135" customFormat="false" ht="15" hidden="false" customHeight="true" outlineLevel="0" collapsed="false">
      <c r="A135" s="23"/>
      <c r="B135" s="24"/>
      <c r="C135" s="23"/>
      <c r="D135" s="23"/>
      <c r="E135" s="23"/>
      <c r="F135" s="23"/>
      <c r="G135" s="23"/>
      <c r="H135" s="23"/>
      <c r="I135" s="23"/>
    </row>
    <row r="136" customFormat="false" ht="15" hidden="false" customHeight="true" outlineLevel="0" collapsed="false">
      <c r="A136" s="23"/>
      <c r="B136" s="24"/>
      <c r="C136" s="23"/>
      <c r="D136" s="23"/>
      <c r="E136" s="23"/>
      <c r="F136" s="23"/>
      <c r="G136" s="23"/>
      <c r="H136" s="23"/>
      <c r="I136" s="23"/>
    </row>
    <row r="137" customFormat="false" ht="15" hidden="false" customHeight="true" outlineLevel="0" collapsed="false">
      <c r="A137" s="23"/>
      <c r="B137" s="24"/>
      <c r="C137" s="23"/>
      <c r="D137" s="23"/>
      <c r="E137" s="23"/>
      <c r="F137" s="23"/>
      <c r="G137" s="23"/>
      <c r="H137" s="23"/>
      <c r="I137" s="23"/>
    </row>
    <row r="138" customFormat="false" ht="15" hidden="false" customHeight="true" outlineLevel="0" collapsed="false">
      <c r="A138" s="23"/>
      <c r="B138" s="24"/>
      <c r="C138" s="23"/>
      <c r="D138" s="23"/>
      <c r="E138" s="23"/>
      <c r="F138" s="23"/>
      <c r="G138" s="23"/>
      <c r="H138" s="23"/>
      <c r="I138" s="23"/>
    </row>
    <row r="139" customFormat="false" ht="15" hidden="false" customHeight="true" outlineLevel="0" collapsed="false">
      <c r="A139" s="23"/>
      <c r="B139" s="24"/>
      <c r="C139" s="23"/>
      <c r="D139" s="23"/>
      <c r="E139" s="23"/>
      <c r="F139" s="23"/>
      <c r="G139" s="23"/>
      <c r="H139" s="23"/>
      <c r="I139" s="23"/>
    </row>
    <row r="140" customFormat="false" ht="15" hidden="false" customHeight="true" outlineLevel="0" collapsed="false">
      <c r="A140" s="23"/>
      <c r="B140" s="24"/>
      <c r="C140" s="23"/>
      <c r="D140" s="23"/>
      <c r="E140" s="23"/>
      <c r="F140" s="23"/>
      <c r="G140" s="23"/>
      <c r="H140" s="23"/>
      <c r="I140" s="23"/>
    </row>
    <row r="141" customFormat="false" ht="15" hidden="false" customHeight="true" outlineLevel="0" collapsed="false">
      <c r="A141" s="23"/>
      <c r="B141" s="24"/>
      <c r="C141" s="23"/>
      <c r="D141" s="23"/>
      <c r="E141" s="23"/>
      <c r="F141" s="23"/>
      <c r="G141" s="23"/>
      <c r="H141" s="23"/>
      <c r="I141" s="23"/>
    </row>
    <row r="142" customFormat="false" ht="15" hidden="false" customHeight="true" outlineLevel="0" collapsed="false">
      <c r="A142" s="23"/>
      <c r="B142" s="24"/>
      <c r="C142" s="23"/>
      <c r="D142" s="23"/>
      <c r="E142" s="23"/>
      <c r="F142" s="23"/>
      <c r="G142" s="23"/>
      <c r="H142" s="23"/>
      <c r="I142" s="23"/>
    </row>
    <row r="143" customFormat="false" ht="15" hidden="false" customHeight="true" outlineLevel="0" collapsed="false">
      <c r="A143" s="23"/>
      <c r="B143" s="24"/>
      <c r="C143" s="23"/>
      <c r="D143" s="23"/>
      <c r="E143" s="23"/>
      <c r="F143" s="23"/>
      <c r="G143" s="23"/>
      <c r="H143" s="23"/>
      <c r="I143" s="23"/>
    </row>
    <row r="144" customFormat="false" ht="15" hidden="false" customHeight="true" outlineLevel="0" collapsed="false">
      <c r="A144" s="23"/>
      <c r="B144" s="24"/>
      <c r="C144" s="23"/>
      <c r="D144" s="23"/>
      <c r="E144" s="23"/>
      <c r="F144" s="23"/>
      <c r="G144" s="23"/>
      <c r="H144" s="23"/>
      <c r="I144" s="23"/>
    </row>
    <row r="145" customFormat="false" ht="15" hidden="false" customHeight="true" outlineLevel="0" collapsed="false">
      <c r="A145" s="23"/>
      <c r="B145" s="24"/>
      <c r="C145" s="23"/>
      <c r="D145" s="23"/>
      <c r="E145" s="23"/>
      <c r="F145" s="23"/>
      <c r="G145" s="23"/>
      <c r="H145" s="23"/>
      <c r="I145" s="23"/>
    </row>
    <row r="146" customFormat="false" ht="15" hidden="false" customHeight="true" outlineLevel="0" collapsed="false">
      <c r="A146" s="23"/>
      <c r="B146" s="24"/>
      <c r="C146" s="23"/>
      <c r="D146" s="23"/>
      <c r="E146" s="23"/>
      <c r="F146" s="23"/>
      <c r="G146" s="23"/>
      <c r="H146" s="23"/>
      <c r="I146" s="23"/>
    </row>
    <row r="147" customFormat="false" ht="15" hidden="false" customHeight="true" outlineLevel="0" collapsed="false">
      <c r="A147" s="23"/>
      <c r="B147" s="24"/>
      <c r="C147" s="23"/>
      <c r="D147" s="23"/>
      <c r="E147" s="23"/>
      <c r="F147" s="23"/>
      <c r="G147" s="23"/>
      <c r="H147" s="23"/>
      <c r="I147" s="23"/>
    </row>
    <row r="148" customFormat="false" ht="15" hidden="false" customHeight="true" outlineLevel="0" collapsed="false">
      <c r="A148" s="23"/>
      <c r="B148" s="24"/>
      <c r="C148" s="23"/>
      <c r="D148" s="23"/>
      <c r="E148" s="23"/>
      <c r="F148" s="23"/>
      <c r="G148" s="23"/>
      <c r="H148" s="23"/>
      <c r="I148" s="23"/>
    </row>
    <row r="149" customFormat="false" ht="15" hidden="false" customHeight="true" outlineLevel="0" collapsed="false">
      <c r="A149" s="23"/>
      <c r="B149" s="24"/>
      <c r="C149" s="23"/>
      <c r="D149" s="23"/>
      <c r="E149" s="23"/>
      <c r="F149" s="23"/>
      <c r="G149" s="23"/>
      <c r="H149" s="23"/>
      <c r="I149" s="23"/>
    </row>
    <row r="150" customFormat="false" ht="15" hidden="false" customHeight="true" outlineLevel="0" collapsed="false">
      <c r="A150" s="23"/>
      <c r="B150" s="24"/>
      <c r="C150" s="23"/>
      <c r="D150" s="23"/>
      <c r="E150" s="23"/>
      <c r="F150" s="23"/>
      <c r="G150" s="23"/>
      <c r="H150" s="23"/>
      <c r="I150" s="23"/>
    </row>
    <row r="151" customFormat="false" ht="15" hidden="false" customHeight="true" outlineLevel="0" collapsed="false">
      <c r="A151" s="23"/>
      <c r="B151" s="24"/>
      <c r="C151" s="23"/>
      <c r="D151" s="23"/>
      <c r="E151" s="23"/>
      <c r="F151" s="23"/>
      <c r="G151" s="23"/>
      <c r="H151" s="23"/>
      <c r="I151" s="23"/>
    </row>
    <row r="152" customFormat="false" ht="15" hidden="false" customHeight="true" outlineLevel="0" collapsed="false">
      <c r="A152" s="23"/>
      <c r="B152" s="24"/>
      <c r="C152" s="23"/>
      <c r="D152" s="23"/>
      <c r="E152" s="23"/>
      <c r="F152" s="23"/>
      <c r="G152" s="23"/>
      <c r="H152" s="23"/>
      <c r="I152" s="23"/>
    </row>
    <row r="153" customFormat="false" ht="15" hidden="false" customHeight="true" outlineLevel="0" collapsed="false">
      <c r="A153" s="23"/>
      <c r="B153" s="24"/>
      <c r="C153" s="23"/>
      <c r="D153" s="23"/>
      <c r="E153" s="23"/>
      <c r="F153" s="23"/>
      <c r="G153" s="23"/>
      <c r="H153" s="23"/>
      <c r="I153" s="23"/>
    </row>
    <row r="154" customFormat="false" ht="15" hidden="false" customHeight="true" outlineLevel="0" collapsed="false">
      <c r="A154" s="23"/>
      <c r="B154" s="24"/>
      <c r="C154" s="23"/>
      <c r="D154" s="23"/>
      <c r="E154" s="23"/>
      <c r="F154" s="23"/>
      <c r="G154" s="23"/>
      <c r="H154" s="23"/>
      <c r="I154" s="23"/>
    </row>
    <row r="155" customFormat="false" ht="15" hidden="false" customHeight="true" outlineLevel="0" collapsed="false">
      <c r="A155" s="23"/>
      <c r="B155" s="24"/>
      <c r="C155" s="23"/>
      <c r="D155" s="23"/>
      <c r="E155" s="23"/>
      <c r="F155" s="23"/>
      <c r="G155" s="23"/>
      <c r="H155" s="23"/>
      <c r="I155" s="23"/>
    </row>
    <row r="156" customFormat="false" ht="15" hidden="false" customHeight="true" outlineLevel="0" collapsed="false">
      <c r="A156" s="23"/>
      <c r="B156" s="24"/>
      <c r="C156" s="23"/>
      <c r="D156" s="23"/>
      <c r="E156" s="23"/>
      <c r="F156" s="23"/>
      <c r="G156" s="23"/>
      <c r="H156" s="23"/>
      <c r="I156" s="23"/>
    </row>
    <row r="157" customFormat="false" ht="15" hidden="false" customHeight="true" outlineLevel="0" collapsed="false">
      <c r="A157" s="23"/>
      <c r="B157" s="24"/>
      <c r="C157" s="23"/>
      <c r="D157" s="23"/>
      <c r="E157" s="23"/>
      <c r="F157" s="23"/>
      <c r="G157" s="23"/>
      <c r="H157" s="23"/>
      <c r="I157" s="23"/>
    </row>
    <row r="158" customFormat="false" ht="15" hidden="false" customHeight="true" outlineLevel="0" collapsed="false">
      <c r="A158" s="23"/>
      <c r="B158" s="24"/>
      <c r="C158" s="23"/>
      <c r="D158" s="23"/>
      <c r="E158" s="23"/>
      <c r="F158" s="23"/>
      <c r="G158" s="23"/>
      <c r="H158" s="23"/>
      <c r="I158" s="23"/>
    </row>
    <row r="159" customFormat="false" ht="15" hidden="false" customHeight="true" outlineLevel="0" collapsed="false">
      <c r="A159" s="23"/>
      <c r="B159" s="24"/>
      <c r="C159" s="23"/>
      <c r="D159" s="23"/>
      <c r="E159" s="23"/>
      <c r="F159" s="23"/>
      <c r="G159" s="23"/>
      <c r="H159" s="23"/>
      <c r="I159" s="23"/>
    </row>
    <row r="160" customFormat="false" ht="15" hidden="false" customHeight="true" outlineLevel="0" collapsed="false">
      <c r="A160" s="23"/>
      <c r="B160" s="24"/>
      <c r="C160" s="23"/>
      <c r="D160" s="23"/>
      <c r="E160" s="23"/>
      <c r="F160" s="23"/>
      <c r="G160" s="23"/>
      <c r="H160" s="23"/>
      <c r="I160" s="23"/>
    </row>
    <row r="161" customFormat="false" ht="15" hidden="false" customHeight="true" outlineLevel="0" collapsed="false">
      <c r="A161" s="23"/>
      <c r="B161" s="24"/>
      <c r="C161" s="23"/>
      <c r="D161" s="23"/>
      <c r="E161" s="23"/>
      <c r="F161" s="23"/>
      <c r="G161" s="23"/>
      <c r="H161" s="23"/>
      <c r="I161" s="23"/>
    </row>
    <row r="162" customFormat="false" ht="15" hidden="false" customHeight="true" outlineLevel="0" collapsed="false">
      <c r="A162" s="23"/>
      <c r="B162" s="24"/>
      <c r="C162" s="23"/>
      <c r="D162" s="23"/>
      <c r="E162" s="23"/>
      <c r="F162" s="23"/>
      <c r="G162" s="23"/>
      <c r="H162" s="23"/>
      <c r="I162" s="23"/>
    </row>
    <row r="163" customFormat="false" ht="15" hidden="false" customHeight="true" outlineLevel="0" collapsed="false">
      <c r="A163" s="23"/>
      <c r="B163" s="24"/>
      <c r="C163" s="23"/>
      <c r="D163" s="23"/>
      <c r="E163" s="23"/>
      <c r="F163" s="23"/>
      <c r="G163" s="23"/>
      <c r="H163" s="23"/>
      <c r="I163" s="23"/>
    </row>
    <row r="164" customFormat="false" ht="15" hidden="false" customHeight="true" outlineLevel="0" collapsed="false">
      <c r="A164" s="23"/>
      <c r="B164" s="24"/>
      <c r="C164" s="23"/>
      <c r="D164" s="23"/>
      <c r="E164" s="23"/>
      <c r="F164" s="23"/>
      <c r="G164" s="23"/>
      <c r="H164" s="23"/>
      <c r="I164" s="23"/>
    </row>
    <row r="165" customFormat="false" ht="15" hidden="false" customHeight="true" outlineLevel="0" collapsed="false">
      <c r="A165" s="23"/>
      <c r="B165" s="24"/>
      <c r="C165" s="23"/>
      <c r="D165" s="23"/>
      <c r="E165" s="23"/>
      <c r="F165" s="23"/>
      <c r="G165" s="23"/>
      <c r="H165" s="23"/>
      <c r="I165" s="23"/>
    </row>
    <row r="166" customFormat="false" ht="15" hidden="false" customHeight="true" outlineLevel="0" collapsed="false">
      <c r="A166" s="23"/>
      <c r="B166" s="24"/>
      <c r="C166" s="23"/>
      <c r="D166" s="23"/>
      <c r="E166" s="23"/>
      <c r="F166" s="23"/>
      <c r="G166" s="23"/>
      <c r="H166" s="23"/>
      <c r="I166" s="23"/>
    </row>
    <row r="167" customFormat="false" ht="15" hidden="false" customHeight="true" outlineLevel="0" collapsed="false">
      <c r="A167" s="23"/>
      <c r="B167" s="24"/>
      <c r="C167" s="23"/>
      <c r="D167" s="23"/>
      <c r="E167" s="23"/>
      <c r="F167" s="23"/>
      <c r="G167" s="23"/>
      <c r="H167" s="23"/>
      <c r="I167" s="23"/>
    </row>
    <row r="168" customFormat="false" ht="15" hidden="false" customHeight="true" outlineLevel="0" collapsed="false">
      <c r="A168" s="23"/>
      <c r="B168" s="24"/>
      <c r="C168" s="23"/>
      <c r="D168" s="23"/>
      <c r="E168" s="23"/>
      <c r="F168" s="23"/>
      <c r="G168" s="23"/>
      <c r="H168" s="23"/>
      <c r="I168" s="23"/>
    </row>
    <row r="169" customFormat="false" ht="15" hidden="false" customHeight="true" outlineLevel="0" collapsed="false">
      <c r="A169" s="23"/>
      <c r="B169" s="24"/>
      <c r="C169" s="23"/>
      <c r="D169" s="23"/>
      <c r="E169" s="23"/>
      <c r="F169" s="23"/>
      <c r="G169" s="23"/>
      <c r="H169" s="23"/>
      <c r="I169" s="23"/>
    </row>
    <row r="170" customFormat="false" ht="15" hidden="false" customHeight="true" outlineLevel="0" collapsed="false">
      <c r="A170" s="23"/>
      <c r="B170" s="24"/>
      <c r="C170" s="23"/>
      <c r="D170" s="23"/>
      <c r="E170" s="23"/>
      <c r="F170" s="23"/>
      <c r="G170" s="23"/>
      <c r="H170" s="23"/>
      <c r="I170" s="23"/>
    </row>
    <row r="171" customFormat="false" ht="15" hidden="false" customHeight="true" outlineLevel="0" collapsed="false">
      <c r="A171" s="23"/>
      <c r="B171" s="24"/>
      <c r="C171" s="23"/>
      <c r="D171" s="23"/>
      <c r="E171" s="23"/>
      <c r="F171" s="23"/>
      <c r="G171" s="23"/>
      <c r="H171" s="23"/>
      <c r="I171" s="23"/>
    </row>
    <row r="172" customFormat="false" ht="15" hidden="false" customHeight="true" outlineLevel="0" collapsed="false">
      <c r="A172" s="23"/>
      <c r="B172" s="24"/>
      <c r="C172" s="23"/>
      <c r="D172" s="23"/>
      <c r="E172" s="23"/>
      <c r="F172" s="23"/>
      <c r="G172" s="23"/>
      <c r="H172" s="23"/>
      <c r="I172" s="23"/>
    </row>
    <row r="173" customFormat="false" ht="15" hidden="false" customHeight="true" outlineLevel="0" collapsed="false">
      <c r="A173" s="23"/>
      <c r="B173" s="24"/>
      <c r="C173" s="23"/>
      <c r="D173" s="23"/>
      <c r="E173" s="23"/>
      <c r="F173" s="23"/>
      <c r="G173" s="23"/>
      <c r="H173" s="23"/>
      <c r="I173" s="23"/>
    </row>
    <row r="174" customFormat="false" ht="15" hidden="false" customHeight="true" outlineLevel="0" collapsed="false">
      <c r="A174" s="23"/>
      <c r="B174" s="24"/>
      <c r="C174" s="23"/>
      <c r="D174" s="23"/>
      <c r="E174" s="23"/>
      <c r="F174" s="23"/>
      <c r="G174" s="23"/>
      <c r="H174" s="23"/>
      <c r="I174" s="23"/>
    </row>
    <row r="175" customFormat="false" ht="15" hidden="false" customHeight="true" outlineLevel="0" collapsed="false">
      <c r="A175" s="23"/>
      <c r="B175" s="24"/>
      <c r="C175" s="23"/>
      <c r="D175" s="23"/>
      <c r="E175" s="23"/>
      <c r="F175" s="23"/>
      <c r="G175" s="23"/>
      <c r="H175" s="23"/>
      <c r="I175" s="23"/>
    </row>
    <row r="176" customFormat="false" ht="15" hidden="false" customHeight="true" outlineLevel="0" collapsed="false">
      <c r="A176" s="23"/>
      <c r="B176" s="24"/>
      <c r="C176" s="23"/>
      <c r="D176" s="23"/>
      <c r="E176" s="23"/>
      <c r="F176" s="23"/>
      <c r="G176" s="23"/>
      <c r="H176" s="23"/>
      <c r="I176" s="23"/>
    </row>
    <row r="177" customFormat="false" ht="15" hidden="false" customHeight="true" outlineLevel="0" collapsed="false">
      <c r="A177" s="23"/>
      <c r="B177" s="24"/>
      <c r="C177" s="23"/>
      <c r="D177" s="23"/>
      <c r="E177" s="23"/>
      <c r="F177" s="23"/>
      <c r="G177" s="23"/>
      <c r="H177" s="23"/>
      <c r="I177" s="23"/>
    </row>
    <row r="178" customFormat="false" ht="15" hidden="false" customHeight="true" outlineLevel="0" collapsed="false">
      <c r="A178" s="23"/>
      <c r="B178" s="24"/>
      <c r="C178" s="23"/>
      <c r="D178" s="23"/>
      <c r="E178" s="23"/>
      <c r="F178" s="23"/>
      <c r="G178" s="23"/>
      <c r="H178" s="23"/>
      <c r="I178" s="23"/>
    </row>
    <row r="179" customFormat="false" ht="15" hidden="false" customHeight="true" outlineLevel="0" collapsed="false">
      <c r="A179" s="23"/>
      <c r="B179" s="24"/>
      <c r="C179" s="23"/>
      <c r="D179" s="23"/>
      <c r="E179" s="23"/>
      <c r="F179" s="23"/>
      <c r="G179" s="23"/>
      <c r="H179" s="23"/>
      <c r="I179" s="23"/>
    </row>
    <row r="180" customFormat="false" ht="15" hidden="false" customHeight="true" outlineLevel="0" collapsed="false">
      <c r="A180" s="23"/>
      <c r="B180" s="24"/>
      <c r="C180" s="23"/>
      <c r="D180" s="23"/>
      <c r="E180" s="23"/>
      <c r="F180" s="23"/>
      <c r="G180" s="23"/>
      <c r="H180" s="23"/>
      <c r="I180" s="23"/>
    </row>
    <row r="181" customFormat="false" ht="15" hidden="false" customHeight="true" outlineLevel="0" collapsed="false">
      <c r="A181" s="23"/>
      <c r="B181" s="24"/>
      <c r="C181" s="23"/>
      <c r="D181" s="23"/>
      <c r="E181" s="23"/>
      <c r="F181" s="23"/>
      <c r="G181" s="23"/>
      <c r="H181" s="23"/>
      <c r="I181" s="23"/>
    </row>
    <row r="182" customFormat="false" ht="15" hidden="false" customHeight="true" outlineLevel="0" collapsed="false">
      <c r="A182" s="23"/>
      <c r="B182" s="24"/>
      <c r="C182" s="23"/>
      <c r="D182" s="23"/>
      <c r="E182" s="23"/>
      <c r="F182" s="23"/>
      <c r="G182" s="23"/>
      <c r="H182" s="23"/>
      <c r="I182" s="23"/>
    </row>
    <row r="183" customFormat="false" ht="15" hidden="false" customHeight="true" outlineLevel="0" collapsed="false">
      <c r="A183" s="23"/>
      <c r="B183" s="24"/>
      <c r="C183" s="23"/>
      <c r="D183" s="23"/>
      <c r="E183" s="23"/>
      <c r="F183" s="23"/>
      <c r="G183" s="23"/>
      <c r="H183" s="23"/>
      <c r="I183" s="23"/>
    </row>
    <row r="184" customFormat="false" ht="15" hidden="false" customHeight="true" outlineLevel="0" collapsed="false">
      <c r="A184" s="23"/>
      <c r="B184" s="24"/>
      <c r="C184" s="23"/>
      <c r="D184" s="23"/>
      <c r="E184" s="23"/>
      <c r="F184" s="23"/>
      <c r="G184" s="23"/>
      <c r="H184" s="23"/>
      <c r="I184" s="23"/>
    </row>
    <row r="185" customFormat="false" ht="15" hidden="false" customHeight="true" outlineLevel="0" collapsed="false">
      <c r="A185" s="23"/>
      <c r="B185" s="24"/>
      <c r="C185" s="23"/>
      <c r="D185" s="23"/>
      <c r="E185" s="23"/>
      <c r="F185" s="23"/>
      <c r="G185" s="23"/>
      <c r="H185" s="23"/>
      <c r="I185" s="23"/>
    </row>
    <row r="186" customFormat="false" ht="15" hidden="false" customHeight="true" outlineLevel="0" collapsed="false">
      <c r="A186" s="23"/>
      <c r="B186" s="24"/>
      <c r="C186" s="23"/>
      <c r="D186" s="23"/>
      <c r="E186" s="23"/>
      <c r="F186" s="23"/>
      <c r="G186" s="23"/>
      <c r="H186" s="23"/>
      <c r="I186" s="23"/>
    </row>
    <row r="187" customFormat="false" ht="15" hidden="false" customHeight="true" outlineLevel="0" collapsed="false">
      <c r="A187" s="23"/>
      <c r="B187" s="24"/>
      <c r="C187" s="23"/>
      <c r="D187" s="23"/>
      <c r="E187" s="23"/>
      <c r="F187" s="23"/>
      <c r="G187" s="23"/>
      <c r="H187" s="23"/>
      <c r="I187" s="23"/>
    </row>
    <row r="188" customFormat="false" ht="15" hidden="false" customHeight="true" outlineLevel="0" collapsed="false">
      <c r="A188" s="23"/>
      <c r="B188" s="24"/>
      <c r="C188" s="23"/>
      <c r="D188" s="23"/>
      <c r="E188" s="23"/>
      <c r="F188" s="23"/>
      <c r="G188" s="23"/>
      <c r="H188" s="23"/>
      <c r="I188" s="23"/>
    </row>
    <row r="189" customFormat="false" ht="15" hidden="false" customHeight="true" outlineLevel="0" collapsed="false">
      <c r="A189" s="23"/>
      <c r="B189" s="24"/>
      <c r="C189" s="23"/>
      <c r="D189" s="23"/>
      <c r="E189" s="23"/>
      <c r="F189" s="23"/>
      <c r="G189" s="23"/>
      <c r="H189" s="23"/>
      <c r="I189" s="23"/>
    </row>
    <row r="190" customFormat="false" ht="15" hidden="false" customHeight="true" outlineLevel="0" collapsed="false">
      <c r="A190" s="23"/>
      <c r="B190" s="24"/>
      <c r="C190" s="23"/>
      <c r="D190" s="23"/>
      <c r="E190" s="23"/>
      <c r="F190" s="23"/>
      <c r="G190" s="23"/>
      <c r="H190" s="23"/>
      <c r="I190" s="23"/>
    </row>
    <row r="191" customFormat="false" ht="15" hidden="false" customHeight="true" outlineLevel="0" collapsed="false">
      <c r="A191" s="23"/>
      <c r="B191" s="24"/>
      <c r="C191" s="23"/>
      <c r="D191" s="23"/>
      <c r="E191" s="23"/>
      <c r="F191" s="23"/>
      <c r="G191" s="23"/>
      <c r="H191" s="23"/>
      <c r="I191" s="23"/>
    </row>
    <row r="192" customFormat="false" ht="15" hidden="false" customHeight="true" outlineLevel="0" collapsed="false">
      <c r="A192" s="23"/>
      <c r="B192" s="24"/>
      <c r="C192" s="23"/>
      <c r="D192" s="23"/>
      <c r="E192" s="23"/>
      <c r="F192" s="23"/>
      <c r="G192" s="23"/>
      <c r="H192" s="23"/>
      <c r="I192" s="23"/>
    </row>
    <row r="193" customFormat="false" ht="15" hidden="false" customHeight="true" outlineLevel="0" collapsed="false">
      <c r="A193" s="23"/>
      <c r="B193" s="24"/>
      <c r="C193" s="23"/>
      <c r="D193" s="23"/>
      <c r="E193" s="23"/>
      <c r="F193" s="23"/>
      <c r="G193" s="23"/>
      <c r="H193" s="23"/>
      <c r="I193" s="23"/>
    </row>
    <row r="194" customFormat="false" ht="15" hidden="false" customHeight="true" outlineLevel="0" collapsed="false">
      <c r="A194" s="23"/>
      <c r="B194" s="24"/>
      <c r="C194" s="23"/>
      <c r="D194" s="23"/>
      <c r="E194" s="23"/>
      <c r="F194" s="23"/>
      <c r="G194" s="23"/>
      <c r="H194" s="23"/>
      <c r="I194" s="23"/>
    </row>
    <row r="195" customFormat="false" ht="15" hidden="false" customHeight="true" outlineLevel="0" collapsed="false">
      <c r="A195" s="23"/>
      <c r="B195" s="24"/>
      <c r="C195" s="23"/>
      <c r="D195" s="23"/>
      <c r="E195" s="23"/>
      <c r="F195" s="23"/>
      <c r="G195" s="23"/>
      <c r="H195" s="23"/>
      <c r="I195" s="23"/>
    </row>
    <row r="196" customFormat="false" ht="15" hidden="false" customHeight="true" outlineLevel="0" collapsed="false">
      <c r="A196" s="23"/>
      <c r="B196" s="24"/>
      <c r="C196" s="23"/>
      <c r="D196" s="23"/>
      <c r="E196" s="23"/>
      <c r="F196" s="23"/>
      <c r="G196" s="23"/>
      <c r="H196" s="23"/>
      <c r="I196" s="23"/>
    </row>
    <row r="197" customFormat="false" ht="15" hidden="false" customHeight="true" outlineLevel="0" collapsed="false">
      <c r="A197" s="23"/>
      <c r="B197" s="24"/>
      <c r="C197" s="23"/>
      <c r="D197" s="23"/>
      <c r="E197" s="23"/>
      <c r="F197" s="23"/>
      <c r="G197" s="23"/>
      <c r="H197" s="23"/>
      <c r="I197" s="23"/>
    </row>
    <row r="198" customFormat="false" ht="15" hidden="false" customHeight="true" outlineLevel="0" collapsed="false">
      <c r="A198" s="23"/>
      <c r="B198" s="24"/>
      <c r="C198" s="23"/>
      <c r="D198" s="23"/>
      <c r="E198" s="23"/>
      <c r="F198" s="23"/>
      <c r="G198" s="23"/>
      <c r="H198" s="23"/>
      <c r="I198" s="23"/>
    </row>
    <row r="199" customFormat="false" ht="15" hidden="false" customHeight="true" outlineLevel="0" collapsed="false">
      <c r="A199" s="23"/>
      <c r="B199" s="24"/>
      <c r="C199" s="23"/>
      <c r="D199" s="23"/>
      <c r="E199" s="23"/>
      <c r="F199" s="23"/>
      <c r="G199" s="23"/>
      <c r="H199" s="23"/>
      <c r="I199" s="23"/>
    </row>
    <row r="200" customFormat="false" ht="15" hidden="false" customHeight="true" outlineLevel="0" collapsed="false">
      <c r="A200" s="23"/>
      <c r="B200" s="24"/>
      <c r="C200" s="23"/>
      <c r="D200" s="23"/>
      <c r="E200" s="23"/>
      <c r="F200" s="23"/>
      <c r="G200" s="23"/>
      <c r="H200" s="23"/>
      <c r="I200" s="23"/>
    </row>
    <row r="201" customFormat="false" ht="15" hidden="false" customHeight="true" outlineLevel="0" collapsed="false">
      <c r="A201" s="23"/>
      <c r="B201" s="24"/>
      <c r="C201" s="23"/>
      <c r="D201" s="23"/>
      <c r="E201" s="23"/>
      <c r="F201" s="23"/>
      <c r="G201" s="23"/>
      <c r="H201" s="23"/>
      <c r="I201" s="23"/>
    </row>
    <row r="202" customFormat="false" ht="15" hidden="false" customHeight="true" outlineLevel="0" collapsed="false">
      <c r="A202" s="23"/>
      <c r="B202" s="24"/>
      <c r="C202" s="23"/>
      <c r="D202" s="23"/>
      <c r="E202" s="23"/>
      <c r="F202" s="23"/>
      <c r="G202" s="23"/>
      <c r="H202" s="23"/>
      <c r="I202" s="23"/>
    </row>
    <row r="203" customFormat="false" ht="15" hidden="false" customHeight="true" outlineLevel="0" collapsed="false">
      <c r="A203" s="23"/>
      <c r="B203" s="24"/>
      <c r="C203" s="23"/>
      <c r="D203" s="23"/>
      <c r="E203" s="23"/>
      <c r="F203" s="23"/>
      <c r="G203" s="23"/>
      <c r="H203" s="23"/>
      <c r="I203" s="23"/>
    </row>
  </sheetData>
  <mergeCells count="2">
    <mergeCell ref="A1:I1"/>
    <mergeCell ref="A2:I2"/>
  </mergeCells>
  <dataValidations count="5">
    <dataValidation allowBlank="true" errorStyle="warning" operator="between" promptTitle="Gün" showDropDown="false" showErrorMessage="false" showInputMessage="false" sqref="F4:F203" type="list">
      <formula1>"Pazartesi,Salı,Çarşamba,Perşembe,Cuma"</formula1>
      <formula2>0</formula2>
    </dataValidation>
    <dataValidation allowBlank="true" errorStyle="warning" operator="between" promptTitle="Başlangıç Saati" showDropDown="false" showErrorMessage="false" showInputMessage="false" sqref="G4:G203" type="list">
      <formula1>"08.00,09.00,10.00,11.00,12.00,13.00,14.00,15.00,16.00,17.00"</formula1>
      <formula2>0</formula2>
    </dataValidation>
    <dataValidation allowBlank="true" errorStyle="warning" operator="between" promptTitle="Süre (Saat)" showDropDown="false" showErrorMessage="false" showInputMessage="false" sqref="H4:H203" type="list">
      <formula1>"1,2,3,4,5,6,7,8"</formula1>
      <formula2>0</formula2>
    </dataValidation>
    <dataValidation allowBlank="true" errorStyle="warning" operator="between" promptTitle="Derslik" showDropDown="false" showErrorMessage="false" showInputMessage="false" sqref="I4:I203" type="list">
      <formula1>'Ortak Derslik Listesi'!$B$4:$B$23</formula1>
      <formula2>0</formula2>
    </dataValidation>
    <dataValidation allowBlank="true" errorStyle="warning" operator="between" promptTitle="Öğretim Elemanı" showDropDown="false" showErrorMessage="false" showInputMessage="false" sqref="E4:E203" type="list">
      <formula1>'Fakülte Öğretim Elemanları'!$C$4:$C$78</formula1>
      <formula2>0</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CE6F1"/>
    <pageSetUpPr fitToPage="true"/>
  </sheetPr>
  <dimension ref="A1:I2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4"/>
    <col collapsed="false" customWidth="true" hidden="false" outlineLevel="0" max="3" min="3" style="0" width="8"/>
    <col collapsed="false" customWidth="true" hidden="false" outlineLevel="0" max="4" min="4" style="0" width="9"/>
    <col collapsed="false" customWidth="true" hidden="false" outlineLevel="0" max="5" min="5" style="0" width="28"/>
    <col collapsed="false" customWidth="true" hidden="false" outlineLevel="0" max="7" min="6" style="0" width="13"/>
    <col collapsed="false" customWidth="true" hidden="false" outlineLevel="0" max="8" min="8" style="0" width="9"/>
    <col collapsed="false" customWidth="true" hidden="false" outlineLevel="0" max="9" min="9" style="0" width="16"/>
  </cols>
  <sheetData>
    <row r="1" customFormat="false" ht="27.75" hidden="false" customHeight="true" outlineLevel="0" collapsed="false">
      <c r="A1" s="21" t="s">
        <v>95</v>
      </c>
      <c r="B1" s="21"/>
      <c r="C1" s="21"/>
      <c r="D1" s="21"/>
      <c r="E1" s="21"/>
      <c r="F1" s="21"/>
      <c r="G1" s="21"/>
      <c r="H1" s="21"/>
      <c r="I1" s="21"/>
    </row>
    <row r="2" customFormat="false" ht="30" hidden="false" customHeight="true" outlineLevel="0" collapsed="false">
      <c r="A2" s="22" t="s">
        <v>84</v>
      </c>
      <c r="B2" s="22"/>
      <c r="C2" s="22"/>
      <c r="D2" s="22"/>
      <c r="E2" s="22"/>
      <c r="F2" s="22"/>
      <c r="G2" s="22"/>
      <c r="H2" s="22"/>
      <c r="I2" s="22"/>
    </row>
    <row r="3" customFormat="false" ht="30" hidden="false" customHeight="true" outlineLevel="0" collapsed="false">
      <c r="A3" s="10" t="s">
        <v>85</v>
      </c>
      <c r="B3" s="10" t="s">
        <v>86</v>
      </c>
      <c r="C3" s="10" t="s">
        <v>87</v>
      </c>
      <c r="D3" s="10" t="s">
        <v>88</v>
      </c>
      <c r="E3" s="10" t="s">
        <v>89</v>
      </c>
      <c r="F3" s="10" t="s">
        <v>90</v>
      </c>
      <c r="G3" s="10" t="s">
        <v>91</v>
      </c>
      <c r="H3" s="10" t="s">
        <v>92</v>
      </c>
      <c r="I3" s="10" t="s">
        <v>93</v>
      </c>
    </row>
    <row r="4" customFormat="false" ht="15" hidden="false" customHeight="true" outlineLevel="0" collapsed="false">
      <c r="A4" s="23"/>
      <c r="B4" s="24"/>
      <c r="C4" s="23"/>
      <c r="D4" s="23"/>
      <c r="E4" s="23"/>
      <c r="F4" s="23"/>
      <c r="G4" s="23"/>
      <c r="H4" s="23"/>
      <c r="I4" s="23"/>
    </row>
    <row r="5" customFormat="false" ht="15" hidden="false" customHeight="true" outlineLevel="0" collapsed="false">
      <c r="A5" s="23"/>
      <c r="B5" s="24"/>
      <c r="C5" s="23"/>
      <c r="D5" s="23"/>
      <c r="E5" s="23"/>
      <c r="F5" s="23"/>
      <c r="G5" s="23"/>
      <c r="H5" s="23"/>
      <c r="I5" s="23"/>
    </row>
    <row r="6" customFormat="false" ht="15" hidden="false" customHeight="true" outlineLevel="0" collapsed="false">
      <c r="A6" s="23"/>
      <c r="B6" s="24"/>
      <c r="C6" s="23"/>
      <c r="D6" s="23"/>
      <c r="E6" s="23"/>
      <c r="F6" s="23"/>
      <c r="G6" s="23"/>
      <c r="H6" s="23"/>
      <c r="I6" s="23"/>
    </row>
    <row r="7" customFormat="false" ht="15" hidden="false" customHeight="true" outlineLevel="0" collapsed="false">
      <c r="A7" s="23"/>
      <c r="B7" s="24"/>
      <c r="C7" s="23"/>
      <c r="D7" s="23"/>
      <c r="E7" s="23"/>
      <c r="F7" s="23"/>
      <c r="G7" s="23"/>
      <c r="H7" s="23"/>
      <c r="I7" s="23"/>
    </row>
    <row r="8" customFormat="false" ht="15" hidden="false" customHeight="true" outlineLevel="0" collapsed="false">
      <c r="A8" s="23"/>
      <c r="B8" s="24"/>
      <c r="C8" s="23"/>
      <c r="D8" s="23"/>
      <c r="E8" s="23"/>
      <c r="F8" s="23"/>
      <c r="G8" s="23"/>
      <c r="H8" s="23"/>
      <c r="I8" s="23"/>
    </row>
    <row r="9" customFormat="false" ht="15" hidden="false" customHeight="true" outlineLevel="0" collapsed="false">
      <c r="A9" s="23"/>
      <c r="B9" s="24"/>
      <c r="C9" s="23"/>
      <c r="D9" s="23"/>
      <c r="E9" s="23"/>
      <c r="F9" s="23"/>
      <c r="G9" s="23"/>
      <c r="H9" s="23"/>
      <c r="I9" s="23"/>
    </row>
    <row r="10" customFormat="false" ht="15" hidden="false" customHeight="true" outlineLevel="0" collapsed="false">
      <c r="A10" s="23"/>
      <c r="B10" s="24"/>
      <c r="C10" s="23"/>
      <c r="D10" s="23"/>
      <c r="E10" s="23"/>
      <c r="F10" s="23"/>
      <c r="G10" s="23"/>
      <c r="H10" s="23"/>
      <c r="I10" s="23"/>
    </row>
    <row r="11" customFormat="false" ht="15" hidden="false" customHeight="true" outlineLevel="0" collapsed="false">
      <c r="A11" s="23"/>
      <c r="B11" s="24"/>
      <c r="C11" s="23"/>
      <c r="D11" s="23"/>
      <c r="E11" s="23"/>
      <c r="F11" s="23"/>
      <c r="G11" s="23"/>
      <c r="H11" s="23"/>
      <c r="I11" s="23"/>
    </row>
    <row r="12" customFormat="false" ht="15" hidden="false" customHeight="true" outlineLevel="0" collapsed="false">
      <c r="A12" s="23"/>
      <c r="B12" s="24"/>
      <c r="C12" s="23"/>
      <c r="D12" s="23"/>
      <c r="E12" s="23"/>
      <c r="F12" s="23"/>
      <c r="G12" s="23"/>
      <c r="H12" s="23"/>
      <c r="I12" s="23"/>
    </row>
    <row r="13" customFormat="false" ht="15" hidden="false" customHeight="true" outlineLevel="0" collapsed="false">
      <c r="A13" s="23"/>
      <c r="B13" s="24"/>
      <c r="C13" s="23"/>
      <c r="D13" s="23"/>
      <c r="E13" s="23"/>
      <c r="F13" s="23"/>
      <c r="G13" s="23"/>
      <c r="H13" s="23"/>
      <c r="I13" s="23"/>
    </row>
    <row r="14" customFormat="false" ht="15" hidden="false" customHeight="true" outlineLevel="0" collapsed="false">
      <c r="A14" s="23"/>
      <c r="B14" s="24"/>
      <c r="C14" s="23"/>
      <c r="D14" s="23"/>
      <c r="E14" s="23"/>
      <c r="F14" s="23"/>
      <c r="G14" s="23"/>
      <c r="H14" s="23"/>
      <c r="I14" s="23"/>
    </row>
    <row r="15" customFormat="false" ht="15" hidden="false" customHeight="true" outlineLevel="0" collapsed="false">
      <c r="A15" s="23"/>
      <c r="B15" s="24"/>
      <c r="C15" s="23"/>
      <c r="D15" s="23"/>
      <c r="E15" s="23"/>
      <c r="F15" s="23"/>
      <c r="G15" s="23"/>
      <c r="H15" s="23"/>
      <c r="I15" s="23"/>
    </row>
    <row r="16" customFormat="false" ht="15" hidden="false" customHeight="true" outlineLevel="0" collapsed="false">
      <c r="A16" s="23"/>
      <c r="B16" s="24"/>
      <c r="C16" s="23"/>
      <c r="D16" s="23"/>
      <c r="E16" s="23"/>
      <c r="F16" s="23"/>
      <c r="G16" s="23"/>
      <c r="H16" s="23"/>
      <c r="I16" s="23"/>
    </row>
    <row r="17" customFormat="false" ht="15" hidden="false" customHeight="true" outlineLevel="0" collapsed="false">
      <c r="A17" s="23"/>
      <c r="B17" s="24"/>
      <c r="C17" s="23"/>
      <c r="D17" s="23"/>
      <c r="E17" s="23"/>
      <c r="F17" s="23"/>
      <c r="G17" s="23"/>
      <c r="H17" s="23"/>
      <c r="I17" s="23"/>
    </row>
    <row r="18" customFormat="false" ht="15" hidden="false" customHeight="true" outlineLevel="0" collapsed="false">
      <c r="A18" s="23"/>
      <c r="B18" s="24"/>
      <c r="C18" s="23"/>
      <c r="D18" s="23"/>
      <c r="E18" s="23"/>
      <c r="F18" s="23"/>
      <c r="G18" s="23"/>
      <c r="H18" s="23"/>
      <c r="I18" s="23"/>
    </row>
    <row r="19" customFormat="false" ht="15" hidden="false" customHeight="true" outlineLevel="0" collapsed="false">
      <c r="A19" s="23"/>
      <c r="B19" s="24"/>
      <c r="C19" s="23"/>
      <c r="D19" s="23"/>
      <c r="E19" s="23"/>
      <c r="F19" s="23"/>
      <c r="G19" s="23"/>
      <c r="H19" s="23"/>
      <c r="I19" s="23"/>
    </row>
    <row r="20" customFormat="false" ht="15" hidden="false" customHeight="true" outlineLevel="0" collapsed="false">
      <c r="A20" s="23"/>
      <c r="B20" s="24"/>
      <c r="C20" s="23"/>
      <c r="D20" s="23"/>
      <c r="E20" s="23"/>
      <c r="F20" s="23"/>
      <c r="G20" s="23"/>
      <c r="H20" s="23"/>
      <c r="I20" s="23"/>
    </row>
    <row r="21" customFormat="false" ht="15" hidden="false" customHeight="true" outlineLevel="0" collapsed="false">
      <c r="A21" s="23"/>
      <c r="B21" s="24"/>
      <c r="C21" s="23"/>
      <c r="D21" s="23"/>
      <c r="E21" s="23"/>
      <c r="F21" s="23"/>
      <c r="G21" s="23"/>
      <c r="H21" s="23"/>
      <c r="I21" s="23"/>
    </row>
    <row r="22" customFormat="false" ht="15" hidden="false" customHeight="true" outlineLevel="0" collapsed="false">
      <c r="A22" s="23"/>
      <c r="B22" s="24"/>
      <c r="C22" s="23"/>
      <c r="D22" s="23"/>
      <c r="E22" s="23"/>
      <c r="F22" s="23"/>
      <c r="G22" s="23"/>
      <c r="H22" s="23"/>
      <c r="I22" s="23"/>
    </row>
    <row r="23" customFormat="false" ht="15" hidden="false" customHeight="true" outlineLevel="0" collapsed="false">
      <c r="A23" s="23"/>
      <c r="B23" s="24"/>
      <c r="C23" s="23"/>
      <c r="D23" s="23"/>
      <c r="E23" s="23"/>
      <c r="F23" s="23"/>
      <c r="G23" s="23"/>
      <c r="H23" s="23"/>
      <c r="I23" s="23"/>
    </row>
    <row r="24" customFormat="false" ht="15" hidden="false" customHeight="true" outlineLevel="0" collapsed="false">
      <c r="A24" s="23"/>
      <c r="B24" s="24"/>
      <c r="C24" s="23"/>
      <c r="D24" s="23"/>
      <c r="E24" s="23"/>
      <c r="F24" s="23"/>
      <c r="G24" s="23"/>
      <c r="H24" s="23"/>
      <c r="I24" s="23"/>
    </row>
    <row r="25" customFormat="false" ht="15" hidden="false" customHeight="true" outlineLevel="0" collapsed="false">
      <c r="A25" s="23"/>
      <c r="B25" s="24"/>
      <c r="C25" s="23"/>
      <c r="D25" s="23"/>
      <c r="E25" s="23"/>
      <c r="F25" s="23"/>
      <c r="G25" s="23"/>
      <c r="H25" s="23"/>
      <c r="I25" s="23"/>
    </row>
    <row r="26" customFormat="false" ht="15" hidden="false" customHeight="true" outlineLevel="0" collapsed="false">
      <c r="A26" s="23"/>
      <c r="B26" s="24"/>
      <c r="C26" s="23"/>
      <c r="D26" s="23"/>
      <c r="E26" s="23"/>
      <c r="F26" s="23"/>
      <c r="G26" s="23"/>
      <c r="H26" s="23"/>
      <c r="I26" s="23"/>
    </row>
    <row r="27" customFormat="false" ht="15" hidden="false" customHeight="true" outlineLevel="0" collapsed="false">
      <c r="A27" s="23"/>
      <c r="B27" s="24"/>
      <c r="C27" s="23"/>
      <c r="D27" s="23"/>
      <c r="E27" s="23"/>
      <c r="F27" s="23"/>
      <c r="G27" s="23"/>
      <c r="H27" s="23"/>
      <c r="I27" s="23"/>
    </row>
    <row r="28" customFormat="false" ht="15" hidden="false" customHeight="true" outlineLevel="0" collapsed="false">
      <c r="A28" s="23"/>
      <c r="B28" s="24"/>
      <c r="C28" s="23"/>
      <c r="D28" s="23"/>
      <c r="E28" s="23"/>
      <c r="F28" s="23"/>
      <c r="G28" s="23"/>
      <c r="H28" s="23"/>
      <c r="I28" s="23"/>
    </row>
    <row r="29" customFormat="false" ht="15" hidden="false" customHeight="true" outlineLevel="0" collapsed="false">
      <c r="A29" s="23"/>
      <c r="B29" s="24"/>
      <c r="C29" s="23"/>
      <c r="D29" s="23"/>
      <c r="E29" s="23"/>
      <c r="F29" s="23"/>
      <c r="G29" s="23"/>
      <c r="H29" s="23"/>
      <c r="I29" s="23"/>
    </row>
    <row r="30" customFormat="false" ht="15" hidden="false" customHeight="true" outlineLevel="0" collapsed="false">
      <c r="A30" s="23"/>
      <c r="B30" s="24"/>
      <c r="C30" s="23"/>
      <c r="D30" s="23"/>
      <c r="E30" s="23"/>
      <c r="F30" s="23"/>
      <c r="G30" s="23"/>
      <c r="H30" s="23"/>
      <c r="I30" s="23"/>
    </row>
    <row r="31" customFormat="false" ht="15" hidden="false" customHeight="true" outlineLevel="0" collapsed="false">
      <c r="A31" s="23"/>
      <c r="B31" s="24"/>
      <c r="C31" s="23"/>
      <c r="D31" s="23"/>
      <c r="E31" s="23"/>
      <c r="F31" s="23"/>
      <c r="G31" s="23"/>
      <c r="H31" s="23"/>
      <c r="I31" s="23"/>
    </row>
    <row r="32" customFormat="false" ht="15" hidden="false" customHeight="true" outlineLevel="0" collapsed="false">
      <c r="A32" s="23"/>
      <c r="B32" s="24"/>
      <c r="C32" s="23"/>
      <c r="D32" s="23"/>
      <c r="E32" s="23"/>
      <c r="F32" s="23"/>
      <c r="G32" s="23"/>
      <c r="H32" s="23"/>
      <c r="I32" s="23"/>
    </row>
    <row r="33" customFormat="false" ht="15" hidden="false" customHeight="true" outlineLevel="0" collapsed="false">
      <c r="A33" s="23"/>
      <c r="B33" s="24"/>
      <c r="C33" s="23"/>
      <c r="D33" s="23"/>
      <c r="E33" s="23"/>
      <c r="F33" s="23"/>
      <c r="G33" s="23"/>
      <c r="H33" s="23"/>
      <c r="I33" s="23"/>
    </row>
    <row r="34" customFormat="false" ht="15" hidden="false" customHeight="true" outlineLevel="0" collapsed="false">
      <c r="A34" s="23"/>
      <c r="B34" s="24"/>
      <c r="C34" s="23"/>
      <c r="D34" s="23"/>
      <c r="E34" s="23"/>
      <c r="F34" s="23"/>
      <c r="G34" s="23"/>
      <c r="H34" s="23"/>
      <c r="I34" s="23"/>
    </row>
    <row r="35" customFormat="false" ht="15" hidden="false" customHeight="true" outlineLevel="0" collapsed="false">
      <c r="A35" s="23"/>
      <c r="B35" s="24"/>
      <c r="C35" s="23"/>
      <c r="D35" s="23"/>
      <c r="E35" s="23"/>
      <c r="F35" s="23"/>
      <c r="G35" s="23"/>
      <c r="H35" s="23"/>
      <c r="I35" s="23"/>
    </row>
    <row r="36" customFormat="false" ht="15" hidden="false" customHeight="true" outlineLevel="0" collapsed="false">
      <c r="A36" s="23"/>
      <c r="B36" s="24"/>
      <c r="C36" s="23"/>
      <c r="D36" s="23"/>
      <c r="E36" s="23"/>
      <c r="F36" s="23"/>
      <c r="G36" s="23"/>
      <c r="H36" s="23"/>
      <c r="I36" s="23"/>
    </row>
    <row r="37" customFormat="false" ht="15" hidden="false" customHeight="true" outlineLevel="0" collapsed="false">
      <c r="A37" s="23"/>
      <c r="B37" s="24"/>
      <c r="C37" s="23"/>
      <c r="D37" s="23"/>
      <c r="E37" s="23"/>
      <c r="F37" s="23"/>
      <c r="G37" s="23"/>
      <c r="H37" s="23"/>
      <c r="I37" s="23"/>
    </row>
    <row r="38" customFormat="false" ht="15" hidden="false" customHeight="true" outlineLevel="0" collapsed="false">
      <c r="A38" s="23"/>
      <c r="B38" s="24"/>
      <c r="C38" s="23"/>
      <c r="D38" s="23"/>
      <c r="E38" s="23"/>
      <c r="F38" s="23"/>
      <c r="G38" s="23"/>
      <c r="H38" s="23"/>
      <c r="I38" s="23"/>
    </row>
    <row r="39" customFormat="false" ht="15" hidden="false" customHeight="true" outlineLevel="0" collapsed="false">
      <c r="A39" s="23"/>
      <c r="B39" s="24"/>
      <c r="C39" s="23"/>
      <c r="D39" s="23"/>
      <c r="E39" s="23"/>
      <c r="F39" s="23"/>
      <c r="G39" s="23"/>
      <c r="H39" s="23"/>
      <c r="I39" s="23"/>
    </row>
    <row r="40" customFormat="false" ht="15" hidden="false" customHeight="true" outlineLevel="0" collapsed="false">
      <c r="A40" s="23"/>
      <c r="B40" s="24"/>
      <c r="C40" s="23"/>
      <c r="D40" s="23"/>
      <c r="E40" s="23"/>
      <c r="F40" s="23"/>
      <c r="G40" s="23"/>
      <c r="H40" s="23"/>
      <c r="I40" s="23"/>
    </row>
    <row r="41" customFormat="false" ht="15" hidden="false" customHeight="true" outlineLevel="0" collapsed="false">
      <c r="A41" s="23"/>
      <c r="B41" s="24"/>
      <c r="C41" s="23"/>
      <c r="D41" s="23"/>
      <c r="E41" s="23"/>
      <c r="F41" s="23"/>
      <c r="G41" s="23"/>
      <c r="H41" s="23"/>
      <c r="I41" s="23"/>
    </row>
    <row r="42" customFormat="false" ht="15" hidden="false" customHeight="true" outlineLevel="0" collapsed="false">
      <c r="A42" s="23"/>
      <c r="B42" s="24"/>
      <c r="C42" s="23"/>
      <c r="D42" s="23"/>
      <c r="E42" s="23"/>
      <c r="F42" s="23"/>
      <c r="G42" s="23"/>
      <c r="H42" s="23"/>
      <c r="I42" s="23"/>
    </row>
    <row r="43" customFormat="false" ht="15" hidden="false" customHeight="true" outlineLevel="0" collapsed="false">
      <c r="A43" s="23"/>
      <c r="B43" s="24"/>
      <c r="C43" s="23"/>
      <c r="D43" s="23"/>
      <c r="E43" s="23"/>
      <c r="F43" s="23"/>
      <c r="G43" s="23"/>
      <c r="H43" s="23"/>
      <c r="I43" s="23"/>
    </row>
    <row r="44" customFormat="false" ht="15" hidden="false" customHeight="true" outlineLevel="0" collapsed="false">
      <c r="A44" s="23"/>
      <c r="B44" s="24"/>
      <c r="C44" s="23"/>
      <c r="D44" s="23"/>
      <c r="E44" s="23"/>
      <c r="F44" s="23"/>
      <c r="G44" s="23"/>
      <c r="H44" s="23"/>
      <c r="I44" s="23"/>
    </row>
    <row r="45" customFormat="false" ht="15" hidden="false" customHeight="true" outlineLevel="0" collapsed="false">
      <c r="A45" s="23"/>
      <c r="B45" s="24"/>
      <c r="C45" s="23"/>
      <c r="D45" s="23"/>
      <c r="E45" s="23"/>
      <c r="F45" s="23"/>
      <c r="G45" s="23"/>
      <c r="H45" s="23"/>
      <c r="I45" s="23"/>
    </row>
    <row r="46" customFormat="false" ht="15" hidden="false" customHeight="true" outlineLevel="0" collapsed="false">
      <c r="A46" s="23"/>
      <c r="B46" s="24"/>
      <c r="C46" s="23"/>
      <c r="D46" s="23"/>
      <c r="E46" s="23"/>
      <c r="F46" s="23"/>
      <c r="G46" s="23"/>
      <c r="H46" s="23"/>
      <c r="I46" s="23"/>
    </row>
    <row r="47" customFormat="false" ht="15" hidden="false" customHeight="true" outlineLevel="0" collapsed="false">
      <c r="A47" s="23"/>
      <c r="B47" s="24"/>
      <c r="C47" s="23"/>
      <c r="D47" s="23"/>
      <c r="E47" s="23"/>
      <c r="F47" s="23"/>
      <c r="G47" s="23"/>
      <c r="H47" s="23"/>
      <c r="I47" s="23"/>
    </row>
    <row r="48" customFormat="false" ht="15" hidden="false" customHeight="true" outlineLevel="0" collapsed="false">
      <c r="A48" s="23"/>
      <c r="B48" s="24"/>
      <c r="C48" s="23"/>
      <c r="D48" s="23"/>
      <c r="E48" s="23"/>
      <c r="F48" s="23"/>
      <c r="G48" s="23"/>
      <c r="H48" s="23"/>
      <c r="I48" s="23"/>
    </row>
    <row r="49" customFormat="false" ht="15" hidden="false" customHeight="true" outlineLevel="0" collapsed="false">
      <c r="A49" s="23"/>
      <c r="B49" s="24"/>
      <c r="C49" s="23"/>
      <c r="D49" s="23"/>
      <c r="E49" s="23"/>
      <c r="F49" s="23"/>
      <c r="G49" s="23"/>
      <c r="H49" s="23"/>
      <c r="I49" s="23"/>
    </row>
    <row r="50" customFormat="false" ht="15" hidden="false" customHeight="true" outlineLevel="0" collapsed="false">
      <c r="A50" s="23"/>
      <c r="B50" s="24"/>
      <c r="C50" s="23"/>
      <c r="D50" s="23"/>
      <c r="E50" s="23"/>
      <c r="F50" s="23"/>
      <c r="G50" s="23"/>
      <c r="H50" s="23"/>
      <c r="I50" s="23"/>
    </row>
    <row r="51" customFormat="false" ht="15" hidden="false" customHeight="true" outlineLevel="0" collapsed="false">
      <c r="A51" s="23"/>
      <c r="B51" s="24"/>
      <c r="C51" s="23"/>
      <c r="D51" s="23"/>
      <c r="E51" s="23"/>
      <c r="F51" s="23"/>
      <c r="G51" s="23"/>
      <c r="H51" s="23"/>
      <c r="I51" s="23"/>
    </row>
    <row r="52" customFormat="false" ht="15" hidden="false" customHeight="true" outlineLevel="0" collapsed="false">
      <c r="A52" s="23"/>
      <c r="B52" s="24"/>
      <c r="C52" s="23"/>
      <c r="D52" s="23"/>
      <c r="E52" s="23"/>
      <c r="F52" s="23"/>
      <c r="G52" s="23"/>
      <c r="H52" s="23"/>
      <c r="I52" s="23"/>
    </row>
    <row r="53" customFormat="false" ht="15" hidden="false" customHeight="true" outlineLevel="0" collapsed="false">
      <c r="A53" s="23"/>
      <c r="B53" s="24"/>
      <c r="C53" s="23"/>
      <c r="D53" s="23"/>
      <c r="E53" s="23"/>
      <c r="F53" s="23"/>
      <c r="G53" s="23"/>
      <c r="H53" s="23"/>
      <c r="I53" s="23"/>
    </row>
    <row r="54" customFormat="false" ht="15" hidden="false" customHeight="true" outlineLevel="0" collapsed="false">
      <c r="A54" s="23"/>
      <c r="B54" s="24"/>
      <c r="C54" s="23"/>
      <c r="D54" s="23"/>
      <c r="E54" s="23"/>
      <c r="F54" s="23"/>
      <c r="G54" s="23"/>
      <c r="H54" s="23"/>
      <c r="I54" s="23"/>
    </row>
    <row r="55" customFormat="false" ht="15" hidden="false" customHeight="true" outlineLevel="0" collapsed="false">
      <c r="A55" s="23"/>
      <c r="B55" s="24"/>
      <c r="C55" s="23"/>
      <c r="D55" s="23"/>
      <c r="E55" s="23"/>
      <c r="F55" s="23"/>
      <c r="G55" s="23"/>
      <c r="H55" s="23"/>
      <c r="I55" s="23"/>
    </row>
    <row r="56" customFormat="false" ht="15" hidden="false" customHeight="true" outlineLevel="0" collapsed="false">
      <c r="A56" s="23"/>
      <c r="B56" s="24"/>
      <c r="C56" s="23"/>
      <c r="D56" s="23"/>
      <c r="E56" s="23"/>
      <c r="F56" s="23"/>
      <c r="G56" s="23"/>
      <c r="H56" s="23"/>
      <c r="I56" s="23"/>
    </row>
    <row r="57" customFormat="false" ht="15" hidden="false" customHeight="true" outlineLevel="0" collapsed="false">
      <c r="A57" s="23"/>
      <c r="B57" s="24"/>
      <c r="C57" s="23"/>
      <c r="D57" s="23"/>
      <c r="E57" s="23"/>
      <c r="F57" s="23"/>
      <c r="G57" s="23"/>
      <c r="H57" s="23"/>
      <c r="I57" s="23"/>
    </row>
    <row r="58" customFormat="false" ht="15" hidden="false" customHeight="true" outlineLevel="0" collapsed="false">
      <c r="A58" s="23"/>
      <c r="B58" s="24"/>
      <c r="C58" s="23"/>
      <c r="D58" s="23"/>
      <c r="E58" s="23"/>
      <c r="F58" s="23"/>
      <c r="G58" s="23"/>
      <c r="H58" s="23"/>
      <c r="I58" s="23"/>
    </row>
    <row r="59" customFormat="false" ht="15" hidden="false" customHeight="true" outlineLevel="0" collapsed="false">
      <c r="A59" s="23"/>
      <c r="B59" s="24"/>
      <c r="C59" s="23"/>
      <c r="D59" s="23"/>
      <c r="E59" s="23"/>
      <c r="F59" s="23"/>
      <c r="G59" s="23"/>
      <c r="H59" s="23"/>
      <c r="I59" s="23"/>
    </row>
    <row r="60" customFormat="false" ht="15" hidden="false" customHeight="true" outlineLevel="0" collapsed="false">
      <c r="A60" s="23"/>
      <c r="B60" s="24"/>
      <c r="C60" s="23"/>
      <c r="D60" s="23"/>
      <c r="E60" s="23"/>
      <c r="F60" s="23"/>
      <c r="G60" s="23"/>
      <c r="H60" s="23"/>
      <c r="I60" s="23"/>
    </row>
    <row r="61" customFormat="false" ht="15" hidden="false" customHeight="true" outlineLevel="0" collapsed="false">
      <c r="A61" s="23"/>
      <c r="B61" s="24"/>
      <c r="C61" s="23"/>
      <c r="D61" s="23"/>
      <c r="E61" s="23"/>
      <c r="F61" s="23"/>
      <c r="G61" s="23"/>
      <c r="H61" s="23"/>
      <c r="I61" s="23"/>
    </row>
    <row r="62" customFormat="false" ht="15" hidden="false" customHeight="true" outlineLevel="0" collapsed="false">
      <c r="A62" s="23"/>
      <c r="B62" s="24"/>
      <c r="C62" s="23"/>
      <c r="D62" s="23"/>
      <c r="E62" s="23"/>
      <c r="F62" s="23"/>
      <c r="G62" s="23"/>
      <c r="H62" s="23"/>
      <c r="I62" s="23"/>
    </row>
    <row r="63" customFormat="false" ht="15" hidden="false" customHeight="true" outlineLevel="0" collapsed="false">
      <c r="A63" s="23"/>
      <c r="B63" s="24"/>
      <c r="C63" s="23"/>
      <c r="D63" s="23"/>
      <c r="E63" s="23"/>
      <c r="F63" s="23"/>
      <c r="G63" s="23"/>
      <c r="H63" s="23"/>
      <c r="I63" s="23"/>
    </row>
    <row r="64" customFormat="false" ht="15" hidden="false" customHeight="true" outlineLevel="0" collapsed="false">
      <c r="A64" s="23"/>
      <c r="B64" s="24"/>
      <c r="C64" s="23"/>
      <c r="D64" s="23"/>
      <c r="E64" s="23"/>
      <c r="F64" s="23"/>
      <c r="G64" s="23"/>
      <c r="H64" s="23"/>
      <c r="I64" s="23"/>
    </row>
    <row r="65" customFormat="false" ht="15" hidden="false" customHeight="true" outlineLevel="0" collapsed="false">
      <c r="A65" s="23"/>
      <c r="B65" s="24"/>
      <c r="C65" s="23"/>
      <c r="D65" s="23"/>
      <c r="E65" s="23"/>
      <c r="F65" s="23"/>
      <c r="G65" s="23"/>
      <c r="H65" s="23"/>
      <c r="I65" s="23"/>
    </row>
    <row r="66" customFormat="false" ht="15" hidden="false" customHeight="true" outlineLevel="0" collapsed="false">
      <c r="A66" s="23"/>
      <c r="B66" s="24"/>
      <c r="C66" s="23"/>
      <c r="D66" s="23"/>
      <c r="E66" s="23"/>
      <c r="F66" s="23"/>
      <c r="G66" s="23"/>
      <c r="H66" s="23"/>
      <c r="I66" s="23"/>
    </row>
    <row r="67" customFormat="false" ht="15" hidden="false" customHeight="true" outlineLevel="0" collapsed="false">
      <c r="A67" s="23"/>
      <c r="B67" s="24"/>
      <c r="C67" s="23"/>
      <c r="D67" s="23"/>
      <c r="E67" s="23"/>
      <c r="F67" s="23"/>
      <c r="G67" s="23"/>
      <c r="H67" s="23"/>
      <c r="I67" s="23"/>
    </row>
    <row r="68" customFormat="false" ht="15" hidden="false" customHeight="true" outlineLevel="0" collapsed="false">
      <c r="A68" s="23"/>
      <c r="B68" s="24"/>
      <c r="C68" s="23"/>
      <c r="D68" s="23"/>
      <c r="E68" s="23"/>
      <c r="F68" s="23"/>
      <c r="G68" s="23"/>
      <c r="H68" s="23"/>
      <c r="I68" s="23"/>
    </row>
    <row r="69" customFormat="false" ht="15" hidden="false" customHeight="true" outlineLevel="0" collapsed="false">
      <c r="A69" s="23"/>
      <c r="B69" s="24"/>
      <c r="C69" s="23"/>
      <c r="D69" s="23"/>
      <c r="E69" s="23"/>
      <c r="F69" s="23"/>
      <c r="G69" s="23"/>
      <c r="H69" s="23"/>
      <c r="I69" s="23"/>
    </row>
    <row r="70" customFormat="false" ht="15" hidden="false" customHeight="true" outlineLevel="0" collapsed="false">
      <c r="A70" s="23"/>
      <c r="B70" s="24"/>
      <c r="C70" s="23"/>
      <c r="D70" s="23"/>
      <c r="E70" s="23"/>
      <c r="F70" s="23"/>
      <c r="G70" s="23"/>
      <c r="H70" s="23"/>
      <c r="I70" s="23"/>
    </row>
    <row r="71" customFormat="false" ht="15" hidden="false" customHeight="true" outlineLevel="0" collapsed="false">
      <c r="A71" s="23"/>
      <c r="B71" s="24"/>
      <c r="C71" s="23"/>
      <c r="D71" s="23"/>
      <c r="E71" s="23"/>
      <c r="F71" s="23"/>
      <c r="G71" s="23"/>
      <c r="H71" s="23"/>
      <c r="I71" s="23"/>
    </row>
    <row r="72" customFormat="false" ht="15" hidden="false" customHeight="true" outlineLevel="0" collapsed="false">
      <c r="A72" s="23"/>
      <c r="B72" s="24"/>
      <c r="C72" s="23"/>
      <c r="D72" s="23"/>
      <c r="E72" s="23"/>
      <c r="F72" s="23"/>
      <c r="G72" s="23"/>
      <c r="H72" s="23"/>
      <c r="I72" s="23"/>
    </row>
    <row r="73" customFormat="false" ht="15" hidden="false" customHeight="true" outlineLevel="0" collapsed="false">
      <c r="A73" s="23"/>
      <c r="B73" s="24"/>
      <c r="C73" s="23"/>
      <c r="D73" s="23"/>
      <c r="E73" s="23"/>
      <c r="F73" s="23"/>
      <c r="G73" s="23"/>
      <c r="H73" s="23"/>
      <c r="I73" s="23"/>
    </row>
    <row r="74" customFormat="false" ht="15" hidden="false" customHeight="true" outlineLevel="0" collapsed="false">
      <c r="A74" s="23"/>
      <c r="B74" s="24"/>
      <c r="C74" s="23"/>
      <c r="D74" s="23"/>
      <c r="E74" s="23"/>
      <c r="F74" s="23"/>
      <c r="G74" s="23"/>
      <c r="H74" s="23"/>
      <c r="I74" s="23"/>
    </row>
    <row r="75" customFormat="false" ht="15" hidden="false" customHeight="true" outlineLevel="0" collapsed="false">
      <c r="A75" s="23"/>
      <c r="B75" s="24"/>
      <c r="C75" s="23"/>
      <c r="D75" s="23"/>
      <c r="E75" s="23"/>
      <c r="F75" s="23"/>
      <c r="G75" s="23"/>
      <c r="H75" s="23"/>
      <c r="I75" s="23"/>
    </row>
    <row r="76" customFormat="false" ht="15" hidden="false" customHeight="true" outlineLevel="0" collapsed="false">
      <c r="A76" s="23"/>
      <c r="B76" s="24"/>
      <c r="C76" s="23"/>
      <c r="D76" s="23"/>
      <c r="E76" s="23"/>
      <c r="F76" s="23"/>
      <c r="G76" s="23"/>
      <c r="H76" s="23"/>
      <c r="I76" s="23"/>
    </row>
    <row r="77" customFormat="false" ht="15" hidden="false" customHeight="true" outlineLevel="0" collapsed="false">
      <c r="A77" s="23"/>
      <c r="B77" s="24"/>
      <c r="C77" s="23"/>
      <c r="D77" s="23"/>
      <c r="E77" s="23"/>
      <c r="F77" s="23"/>
      <c r="G77" s="23"/>
      <c r="H77" s="23"/>
      <c r="I77" s="23"/>
    </row>
    <row r="78" customFormat="false" ht="15" hidden="false" customHeight="true" outlineLevel="0" collapsed="false">
      <c r="A78" s="23"/>
      <c r="B78" s="24"/>
      <c r="C78" s="23"/>
      <c r="D78" s="23"/>
      <c r="E78" s="23"/>
      <c r="F78" s="23"/>
      <c r="G78" s="23"/>
      <c r="H78" s="23"/>
      <c r="I78" s="23"/>
    </row>
    <row r="79" customFormat="false" ht="15" hidden="false" customHeight="true" outlineLevel="0" collapsed="false">
      <c r="A79" s="23"/>
      <c r="B79" s="24"/>
      <c r="C79" s="23"/>
      <c r="D79" s="23"/>
      <c r="E79" s="23"/>
      <c r="F79" s="23"/>
      <c r="G79" s="23"/>
      <c r="H79" s="23"/>
      <c r="I79" s="23"/>
    </row>
    <row r="80" customFormat="false" ht="15" hidden="false" customHeight="true" outlineLevel="0" collapsed="false">
      <c r="A80" s="23"/>
      <c r="B80" s="24"/>
      <c r="C80" s="23"/>
      <c r="D80" s="23"/>
      <c r="E80" s="23"/>
      <c r="F80" s="23"/>
      <c r="G80" s="23"/>
      <c r="H80" s="23"/>
      <c r="I80" s="23"/>
    </row>
    <row r="81" customFormat="false" ht="15" hidden="false" customHeight="true" outlineLevel="0" collapsed="false">
      <c r="A81" s="23"/>
      <c r="B81" s="24"/>
      <c r="C81" s="23"/>
      <c r="D81" s="23"/>
      <c r="E81" s="23"/>
      <c r="F81" s="23"/>
      <c r="G81" s="23"/>
      <c r="H81" s="23"/>
      <c r="I81" s="23"/>
    </row>
    <row r="82" customFormat="false" ht="15" hidden="false" customHeight="true" outlineLevel="0" collapsed="false">
      <c r="A82" s="23"/>
      <c r="B82" s="24"/>
      <c r="C82" s="23"/>
      <c r="D82" s="23"/>
      <c r="E82" s="23"/>
      <c r="F82" s="23"/>
      <c r="G82" s="23"/>
      <c r="H82" s="23"/>
      <c r="I82" s="23"/>
    </row>
    <row r="83" customFormat="false" ht="15" hidden="false" customHeight="true" outlineLevel="0" collapsed="false">
      <c r="A83" s="23"/>
      <c r="B83" s="24"/>
      <c r="C83" s="23"/>
      <c r="D83" s="23"/>
      <c r="E83" s="23"/>
      <c r="F83" s="23"/>
      <c r="G83" s="23"/>
      <c r="H83" s="23"/>
      <c r="I83" s="23"/>
    </row>
    <row r="84" customFormat="false" ht="15" hidden="false" customHeight="true" outlineLevel="0" collapsed="false">
      <c r="A84" s="23"/>
      <c r="B84" s="24"/>
      <c r="C84" s="23"/>
      <c r="D84" s="23"/>
      <c r="E84" s="23"/>
      <c r="F84" s="23"/>
      <c r="G84" s="23"/>
      <c r="H84" s="23"/>
      <c r="I84" s="23"/>
    </row>
    <row r="85" customFormat="false" ht="15" hidden="false" customHeight="true" outlineLevel="0" collapsed="false">
      <c r="A85" s="23"/>
      <c r="B85" s="24"/>
      <c r="C85" s="23"/>
      <c r="D85" s="23"/>
      <c r="E85" s="23"/>
      <c r="F85" s="23"/>
      <c r="G85" s="23"/>
      <c r="H85" s="23"/>
      <c r="I85" s="23"/>
    </row>
    <row r="86" customFormat="false" ht="15" hidden="false" customHeight="true" outlineLevel="0" collapsed="false">
      <c r="A86" s="23"/>
      <c r="B86" s="24"/>
      <c r="C86" s="23"/>
      <c r="D86" s="23"/>
      <c r="E86" s="23"/>
      <c r="F86" s="23"/>
      <c r="G86" s="23"/>
      <c r="H86" s="23"/>
      <c r="I86" s="23"/>
    </row>
    <row r="87" customFormat="false" ht="15" hidden="false" customHeight="true" outlineLevel="0" collapsed="false">
      <c r="A87" s="23"/>
      <c r="B87" s="24"/>
      <c r="C87" s="23"/>
      <c r="D87" s="23"/>
      <c r="E87" s="23"/>
      <c r="F87" s="23"/>
      <c r="G87" s="23"/>
      <c r="H87" s="23"/>
      <c r="I87" s="23"/>
    </row>
    <row r="88" customFormat="false" ht="15" hidden="false" customHeight="true" outlineLevel="0" collapsed="false">
      <c r="A88" s="23"/>
      <c r="B88" s="24"/>
      <c r="C88" s="23"/>
      <c r="D88" s="23"/>
      <c r="E88" s="23"/>
      <c r="F88" s="23"/>
      <c r="G88" s="23"/>
      <c r="H88" s="23"/>
      <c r="I88" s="23"/>
    </row>
    <row r="89" customFormat="false" ht="15" hidden="false" customHeight="true" outlineLevel="0" collapsed="false">
      <c r="A89" s="23"/>
      <c r="B89" s="24"/>
      <c r="C89" s="23"/>
      <c r="D89" s="23"/>
      <c r="E89" s="23"/>
      <c r="F89" s="23"/>
      <c r="G89" s="23"/>
      <c r="H89" s="23"/>
      <c r="I89" s="23"/>
    </row>
    <row r="90" customFormat="false" ht="15" hidden="false" customHeight="true" outlineLevel="0" collapsed="false">
      <c r="A90" s="23"/>
      <c r="B90" s="24"/>
      <c r="C90" s="23"/>
      <c r="D90" s="23"/>
      <c r="E90" s="23"/>
      <c r="F90" s="23"/>
      <c r="G90" s="23"/>
      <c r="H90" s="23"/>
      <c r="I90" s="23"/>
    </row>
    <row r="91" customFormat="false" ht="15" hidden="false" customHeight="true" outlineLevel="0" collapsed="false">
      <c r="A91" s="23"/>
      <c r="B91" s="24"/>
      <c r="C91" s="23"/>
      <c r="D91" s="23"/>
      <c r="E91" s="23"/>
      <c r="F91" s="23"/>
      <c r="G91" s="23"/>
      <c r="H91" s="23"/>
      <c r="I91" s="23"/>
    </row>
    <row r="92" customFormat="false" ht="15" hidden="false" customHeight="true" outlineLevel="0" collapsed="false">
      <c r="A92" s="23"/>
      <c r="B92" s="24"/>
      <c r="C92" s="23"/>
      <c r="D92" s="23"/>
      <c r="E92" s="23"/>
      <c r="F92" s="23"/>
      <c r="G92" s="23"/>
      <c r="H92" s="23"/>
      <c r="I92" s="23"/>
    </row>
    <row r="93" customFormat="false" ht="15" hidden="false" customHeight="true" outlineLevel="0" collapsed="false">
      <c r="A93" s="23"/>
      <c r="B93" s="24"/>
      <c r="C93" s="23"/>
      <c r="D93" s="23"/>
      <c r="E93" s="23"/>
      <c r="F93" s="23"/>
      <c r="G93" s="23"/>
      <c r="H93" s="23"/>
      <c r="I93" s="23"/>
    </row>
    <row r="94" customFormat="false" ht="15" hidden="false" customHeight="true" outlineLevel="0" collapsed="false">
      <c r="A94" s="23"/>
      <c r="B94" s="24"/>
      <c r="C94" s="23"/>
      <c r="D94" s="23"/>
      <c r="E94" s="23"/>
      <c r="F94" s="23"/>
      <c r="G94" s="23"/>
      <c r="H94" s="23"/>
      <c r="I94" s="23"/>
    </row>
    <row r="95" customFormat="false" ht="15" hidden="false" customHeight="true" outlineLevel="0" collapsed="false">
      <c r="A95" s="23"/>
      <c r="B95" s="24"/>
      <c r="C95" s="23"/>
      <c r="D95" s="23"/>
      <c r="E95" s="23"/>
      <c r="F95" s="23"/>
      <c r="G95" s="23"/>
      <c r="H95" s="23"/>
      <c r="I95" s="23"/>
    </row>
    <row r="96" customFormat="false" ht="15" hidden="false" customHeight="true" outlineLevel="0" collapsed="false">
      <c r="A96" s="23"/>
      <c r="B96" s="24"/>
      <c r="C96" s="23"/>
      <c r="D96" s="23"/>
      <c r="E96" s="23"/>
      <c r="F96" s="23"/>
      <c r="G96" s="23"/>
      <c r="H96" s="23"/>
      <c r="I96" s="23"/>
    </row>
    <row r="97" customFormat="false" ht="15" hidden="false" customHeight="true" outlineLevel="0" collapsed="false">
      <c r="A97" s="23"/>
      <c r="B97" s="24"/>
      <c r="C97" s="23"/>
      <c r="D97" s="23"/>
      <c r="E97" s="23"/>
      <c r="F97" s="23"/>
      <c r="G97" s="23"/>
      <c r="H97" s="23"/>
      <c r="I97" s="23"/>
    </row>
    <row r="98" customFormat="false" ht="15" hidden="false" customHeight="true" outlineLevel="0" collapsed="false">
      <c r="A98" s="23"/>
      <c r="B98" s="24"/>
      <c r="C98" s="23"/>
      <c r="D98" s="23"/>
      <c r="E98" s="23"/>
      <c r="F98" s="23"/>
      <c r="G98" s="23"/>
      <c r="H98" s="23"/>
      <c r="I98" s="23"/>
    </row>
    <row r="99" customFormat="false" ht="15" hidden="false" customHeight="true" outlineLevel="0" collapsed="false">
      <c r="A99" s="23"/>
      <c r="B99" s="24"/>
      <c r="C99" s="23"/>
      <c r="D99" s="23"/>
      <c r="E99" s="23"/>
      <c r="F99" s="23"/>
      <c r="G99" s="23"/>
      <c r="H99" s="23"/>
      <c r="I99" s="23"/>
    </row>
    <row r="100" customFormat="false" ht="15" hidden="false" customHeight="true" outlineLevel="0" collapsed="false">
      <c r="A100" s="23"/>
      <c r="B100" s="24"/>
      <c r="C100" s="23"/>
      <c r="D100" s="23"/>
      <c r="E100" s="23"/>
      <c r="F100" s="23"/>
      <c r="G100" s="23"/>
      <c r="H100" s="23"/>
      <c r="I100" s="23"/>
    </row>
    <row r="101" customFormat="false" ht="15" hidden="false" customHeight="true" outlineLevel="0" collapsed="false">
      <c r="A101" s="23"/>
      <c r="B101" s="24"/>
      <c r="C101" s="23"/>
      <c r="D101" s="23"/>
      <c r="E101" s="23"/>
      <c r="F101" s="23"/>
      <c r="G101" s="23"/>
      <c r="H101" s="23"/>
      <c r="I101" s="23"/>
    </row>
    <row r="102" customFormat="false" ht="15" hidden="false" customHeight="true" outlineLevel="0" collapsed="false">
      <c r="A102" s="23"/>
      <c r="B102" s="24"/>
      <c r="C102" s="23"/>
      <c r="D102" s="23"/>
      <c r="E102" s="23"/>
      <c r="F102" s="23"/>
      <c r="G102" s="23"/>
      <c r="H102" s="23"/>
      <c r="I102" s="23"/>
    </row>
    <row r="103" customFormat="false" ht="15" hidden="false" customHeight="true" outlineLevel="0" collapsed="false">
      <c r="A103" s="23"/>
      <c r="B103" s="24"/>
      <c r="C103" s="23"/>
      <c r="D103" s="23"/>
      <c r="E103" s="23"/>
      <c r="F103" s="23"/>
      <c r="G103" s="23"/>
      <c r="H103" s="23"/>
      <c r="I103" s="23"/>
    </row>
    <row r="104" customFormat="false" ht="15" hidden="false" customHeight="true" outlineLevel="0" collapsed="false">
      <c r="A104" s="23"/>
      <c r="B104" s="24"/>
      <c r="C104" s="23"/>
      <c r="D104" s="23"/>
      <c r="E104" s="23"/>
      <c r="F104" s="23"/>
      <c r="G104" s="23"/>
      <c r="H104" s="23"/>
      <c r="I104" s="23"/>
    </row>
    <row r="105" customFormat="false" ht="15" hidden="false" customHeight="true" outlineLevel="0" collapsed="false">
      <c r="A105" s="23"/>
      <c r="B105" s="24"/>
      <c r="C105" s="23"/>
      <c r="D105" s="23"/>
      <c r="E105" s="23"/>
      <c r="F105" s="23"/>
      <c r="G105" s="23"/>
      <c r="H105" s="23"/>
      <c r="I105" s="23"/>
    </row>
    <row r="106" customFormat="false" ht="15" hidden="false" customHeight="true" outlineLevel="0" collapsed="false">
      <c r="A106" s="23"/>
      <c r="B106" s="24"/>
      <c r="C106" s="23"/>
      <c r="D106" s="23"/>
      <c r="E106" s="23"/>
      <c r="F106" s="23"/>
      <c r="G106" s="23"/>
      <c r="H106" s="23"/>
      <c r="I106" s="23"/>
    </row>
    <row r="107" customFormat="false" ht="15" hidden="false" customHeight="true" outlineLevel="0" collapsed="false">
      <c r="A107" s="23"/>
      <c r="B107" s="24"/>
      <c r="C107" s="23"/>
      <c r="D107" s="23"/>
      <c r="E107" s="23"/>
      <c r="F107" s="23"/>
      <c r="G107" s="23"/>
      <c r="H107" s="23"/>
      <c r="I107" s="23"/>
    </row>
    <row r="108" customFormat="false" ht="15" hidden="false" customHeight="true" outlineLevel="0" collapsed="false">
      <c r="A108" s="23"/>
      <c r="B108" s="24"/>
      <c r="C108" s="23"/>
      <c r="D108" s="23"/>
      <c r="E108" s="23"/>
      <c r="F108" s="23"/>
      <c r="G108" s="23"/>
      <c r="H108" s="23"/>
      <c r="I108" s="23"/>
    </row>
    <row r="109" customFormat="false" ht="15" hidden="false" customHeight="true" outlineLevel="0" collapsed="false">
      <c r="A109" s="23"/>
      <c r="B109" s="24"/>
      <c r="C109" s="23"/>
      <c r="D109" s="23"/>
      <c r="E109" s="23"/>
      <c r="F109" s="23"/>
      <c r="G109" s="23"/>
      <c r="H109" s="23"/>
      <c r="I109" s="23"/>
    </row>
    <row r="110" customFormat="false" ht="15" hidden="false" customHeight="true" outlineLevel="0" collapsed="false">
      <c r="A110" s="23"/>
      <c r="B110" s="24"/>
      <c r="C110" s="23"/>
      <c r="D110" s="23"/>
      <c r="E110" s="23"/>
      <c r="F110" s="23"/>
      <c r="G110" s="23"/>
      <c r="H110" s="23"/>
      <c r="I110" s="23"/>
    </row>
    <row r="111" customFormat="false" ht="15" hidden="false" customHeight="true" outlineLevel="0" collapsed="false">
      <c r="A111" s="23"/>
      <c r="B111" s="24"/>
      <c r="C111" s="23"/>
      <c r="D111" s="23"/>
      <c r="E111" s="23"/>
      <c r="F111" s="23"/>
      <c r="G111" s="23"/>
      <c r="H111" s="23"/>
      <c r="I111" s="23"/>
    </row>
    <row r="112" customFormat="false" ht="15" hidden="false" customHeight="true" outlineLevel="0" collapsed="false">
      <c r="A112" s="23"/>
      <c r="B112" s="24"/>
      <c r="C112" s="23"/>
      <c r="D112" s="23"/>
      <c r="E112" s="23"/>
      <c r="F112" s="23"/>
      <c r="G112" s="23"/>
      <c r="H112" s="23"/>
      <c r="I112" s="23"/>
    </row>
    <row r="113" customFormat="false" ht="15" hidden="false" customHeight="true" outlineLevel="0" collapsed="false">
      <c r="A113" s="23"/>
      <c r="B113" s="24"/>
      <c r="C113" s="23"/>
      <c r="D113" s="23"/>
      <c r="E113" s="23"/>
      <c r="F113" s="23"/>
      <c r="G113" s="23"/>
      <c r="H113" s="23"/>
      <c r="I113" s="23"/>
    </row>
    <row r="114" customFormat="false" ht="15" hidden="false" customHeight="true" outlineLevel="0" collapsed="false">
      <c r="A114" s="23"/>
      <c r="B114" s="24"/>
      <c r="C114" s="23"/>
      <c r="D114" s="23"/>
      <c r="E114" s="23"/>
      <c r="F114" s="23"/>
      <c r="G114" s="23"/>
      <c r="H114" s="23"/>
      <c r="I114" s="23"/>
    </row>
    <row r="115" customFormat="false" ht="15" hidden="false" customHeight="true" outlineLevel="0" collapsed="false">
      <c r="A115" s="23"/>
      <c r="B115" s="24"/>
      <c r="C115" s="23"/>
      <c r="D115" s="23"/>
      <c r="E115" s="23"/>
      <c r="F115" s="23"/>
      <c r="G115" s="23"/>
      <c r="H115" s="23"/>
      <c r="I115" s="23"/>
    </row>
    <row r="116" customFormat="false" ht="15" hidden="false" customHeight="true" outlineLevel="0" collapsed="false">
      <c r="A116" s="23"/>
      <c r="B116" s="24"/>
      <c r="C116" s="23"/>
      <c r="D116" s="23"/>
      <c r="E116" s="23"/>
      <c r="F116" s="23"/>
      <c r="G116" s="23"/>
      <c r="H116" s="23"/>
      <c r="I116" s="23"/>
    </row>
    <row r="117" customFormat="false" ht="15" hidden="false" customHeight="true" outlineLevel="0" collapsed="false">
      <c r="A117" s="23"/>
      <c r="B117" s="24"/>
      <c r="C117" s="23"/>
      <c r="D117" s="23"/>
      <c r="E117" s="23"/>
      <c r="F117" s="23"/>
      <c r="G117" s="23"/>
      <c r="H117" s="23"/>
      <c r="I117" s="23"/>
    </row>
    <row r="118" customFormat="false" ht="15" hidden="false" customHeight="true" outlineLevel="0" collapsed="false">
      <c r="A118" s="23"/>
      <c r="B118" s="24"/>
      <c r="C118" s="23"/>
      <c r="D118" s="23"/>
      <c r="E118" s="23"/>
      <c r="F118" s="23"/>
      <c r="G118" s="23"/>
      <c r="H118" s="23"/>
      <c r="I118" s="23"/>
    </row>
    <row r="119" customFormat="false" ht="15" hidden="false" customHeight="true" outlineLevel="0" collapsed="false">
      <c r="A119" s="23"/>
      <c r="B119" s="24"/>
      <c r="C119" s="23"/>
      <c r="D119" s="23"/>
      <c r="E119" s="23"/>
      <c r="F119" s="23"/>
      <c r="G119" s="23"/>
      <c r="H119" s="23"/>
      <c r="I119" s="23"/>
    </row>
    <row r="120" customFormat="false" ht="15" hidden="false" customHeight="true" outlineLevel="0" collapsed="false">
      <c r="A120" s="23"/>
      <c r="B120" s="24"/>
      <c r="C120" s="23"/>
      <c r="D120" s="23"/>
      <c r="E120" s="23"/>
      <c r="F120" s="23"/>
      <c r="G120" s="23"/>
      <c r="H120" s="23"/>
      <c r="I120" s="23"/>
    </row>
    <row r="121" customFormat="false" ht="15" hidden="false" customHeight="true" outlineLevel="0" collapsed="false">
      <c r="A121" s="23"/>
      <c r="B121" s="24"/>
      <c r="C121" s="23"/>
      <c r="D121" s="23"/>
      <c r="E121" s="23"/>
      <c r="F121" s="23"/>
      <c r="G121" s="23"/>
      <c r="H121" s="23"/>
      <c r="I121" s="23"/>
    </row>
    <row r="122" customFormat="false" ht="15" hidden="false" customHeight="true" outlineLevel="0" collapsed="false">
      <c r="A122" s="23"/>
      <c r="B122" s="24"/>
      <c r="C122" s="23"/>
      <c r="D122" s="23"/>
      <c r="E122" s="23"/>
      <c r="F122" s="23"/>
      <c r="G122" s="23"/>
      <c r="H122" s="23"/>
      <c r="I122" s="23"/>
    </row>
    <row r="123" customFormat="false" ht="15" hidden="false" customHeight="true" outlineLevel="0" collapsed="false">
      <c r="A123" s="23"/>
      <c r="B123" s="24"/>
      <c r="C123" s="23"/>
      <c r="D123" s="23"/>
      <c r="E123" s="23"/>
      <c r="F123" s="23"/>
      <c r="G123" s="23"/>
      <c r="H123" s="23"/>
      <c r="I123" s="23"/>
    </row>
    <row r="124" customFormat="false" ht="15" hidden="false" customHeight="true" outlineLevel="0" collapsed="false">
      <c r="A124" s="23"/>
      <c r="B124" s="24"/>
      <c r="C124" s="23"/>
      <c r="D124" s="23"/>
      <c r="E124" s="23"/>
      <c r="F124" s="23"/>
      <c r="G124" s="23"/>
      <c r="H124" s="23"/>
      <c r="I124" s="23"/>
    </row>
    <row r="125" customFormat="false" ht="15" hidden="false" customHeight="true" outlineLevel="0" collapsed="false">
      <c r="A125" s="23"/>
      <c r="B125" s="24"/>
      <c r="C125" s="23"/>
      <c r="D125" s="23"/>
      <c r="E125" s="23"/>
      <c r="F125" s="23"/>
      <c r="G125" s="23"/>
      <c r="H125" s="23"/>
      <c r="I125" s="23"/>
    </row>
    <row r="126" customFormat="false" ht="15" hidden="false" customHeight="true" outlineLevel="0" collapsed="false">
      <c r="A126" s="23"/>
      <c r="B126" s="24"/>
      <c r="C126" s="23"/>
      <c r="D126" s="23"/>
      <c r="E126" s="23"/>
      <c r="F126" s="23"/>
      <c r="G126" s="23"/>
      <c r="H126" s="23"/>
      <c r="I126" s="23"/>
    </row>
    <row r="127" customFormat="false" ht="15" hidden="false" customHeight="true" outlineLevel="0" collapsed="false">
      <c r="A127" s="23"/>
      <c r="B127" s="24"/>
      <c r="C127" s="23"/>
      <c r="D127" s="23"/>
      <c r="E127" s="23"/>
      <c r="F127" s="23"/>
      <c r="G127" s="23"/>
      <c r="H127" s="23"/>
      <c r="I127" s="23"/>
    </row>
    <row r="128" customFormat="false" ht="15" hidden="false" customHeight="true" outlineLevel="0" collapsed="false">
      <c r="A128" s="23"/>
      <c r="B128" s="24"/>
      <c r="C128" s="23"/>
      <c r="D128" s="23"/>
      <c r="E128" s="23"/>
      <c r="F128" s="23"/>
      <c r="G128" s="23"/>
      <c r="H128" s="23"/>
      <c r="I128" s="23"/>
    </row>
    <row r="129" customFormat="false" ht="15" hidden="false" customHeight="true" outlineLevel="0" collapsed="false">
      <c r="A129" s="23"/>
      <c r="B129" s="24"/>
      <c r="C129" s="23"/>
      <c r="D129" s="23"/>
      <c r="E129" s="23"/>
      <c r="F129" s="23"/>
      <c r="G129" s="23"/>
      <c r="H129" s="23"/>
      <c r="I129" s="23"/>
    </row>
    <row r="130" customFormat="false" ht="15" hidden="false" customHeight="true" outlineLevel="0" collapsed="false">
      <c r="A130" s="23"/>
      <c r="B130" s="24"/>
      <c r="C130" s="23"/>
      <c r="D130" s="23"/>
      <c r="E130" s="23"/>
      <c r="F130" s="23"/>
      <c r="G130" s="23"/>
      <c r="H130" s="23"/>
      <c r="I130" s="23"/>
    </row>
    <row r="131" customFormat="false" ht="15" hidden="false" customHeight="true" outlineLevel="0" collapsed="false">
      <c r="A131" s="23"/>
      <c r="B131" s="24"/>
      <c r="C131" s="23"/>
      <c r="D131" s="23"/>
      <c r="E131" s="23"/>
      <c r="F131" s="23"/>
      <c r="G131" s="23"/>
      <c r="H131" s="23"/>
      <c r="I131" s="23"/>
    </row>
    <row r="132" customFormat="false" ht="15" hidden="false" customHeight="true" outlineLevel="0" collapsed="false">
      <c r="A132" s="23"/>
      <c r="B132" s="24"/>
      <c r="C132" s="23"/>
      <c r="D132" s="23"/>
      <c r="E132" s="23"/>
      <c r="F132" s="23"/>
      <c r="G132" s="23"/>
      <c r="H132" s="23"/>
      <c r="I132" s="23"/>
    </row>
    <row r="133" customFormat="false" ht="15" hidden="false" customHeight="true" outlineLevel="0" collapsed="false">
      <c r="A133" s="23"/>
      <c r="B133" s="24"/>
      <c r="C133" s="23"/>
      <c r="D133" s="23"/>
      <c r="E133" s="23"/>
      <c r="F133" s="23"/>
      <c r="G133" s="23"/>
      <c r="H133" s="23"/>
      <c r="I133" s="23"/>
    </row>
    <row r="134" customFormat="false" ht="15" hidden="false" customHeight="true" outlineLevel="0" collapsed="false">
      <c r="A134" s="23"/>
      <c r="B134" s="24"/>
      <c r="C134" s="23"/>
      <c r="D134" s="23"/>
      <c r="E134" s="23"/>
      <c r="F134" s="23"/>
      <c r="G134" s="23"/>
      <c r="H134" s="23"/>
      <c r="I134" s="23"/>
    </row>
    <row r="135" customFormat="false" ht="15" hidden="false" customHeight="true" outlineLevel="0" collapsed="false">
      <c r="A135" s="23"/>
      <c r="B135" s="24"/>
      <c r="C135" s="23"/>
      <c r="D135" s="23"/>
      <c r="E135" s="23"/>
      <c r="F135" s="23"/>
      <c r="G135" s="23"/>
      <c r="H135" s="23"/>
      <c r="I135" s="23"/>
    </row>
    <row r="136" customFormat="false" ht="15" hidden="false" customHeight="true" outlineLevel="0" collapsed="false">
      <c r="A136" s="23"/>
      <c r="B136" s="24"/>
      <c r="C136" s="23"/>
      <c r="D136" s="23"/>
      <c r="E136" s="23"/>
      <c r="F136" s="23"/>
      <c r="G136" s="23"/>
      <c r="H136" s="23"/>
      <c r="I136" s="23"/>
    </row>
    <row r="137" customFormat="false" ht="15" hidden="false" customHeight="true" outlineLevel="0" collapsed="false">
      <c r="A137" s="23"/>
      <c r="B137" s="24"/>
      <c r="C137" s="23"/>
      <c r="D137" s="23"/>
      <c r="E137" s="23"/>
      <c r="F137" s="23"/>
      <c r="G137" s="23"/>
      <c r="H137" s="23"/>
      <c r="I137" s="23"/>
    </row>
    <row r="138" customFormat="false" ht="15" hidden="false" customHeight="true" outlineLevel="0" collapsed="false">
      <c r="A138" s="23"/>
      <c r="B138" s="24"/>
      <c r="C138" s="23"/>
      <c r="D138" s="23"/>
      <c r="E138" s="23"/>
      <c r="F138" s="23"/>
      <c r="G138" s="23"/>
      <c r="H138" s="23"/>
      <c r="I138" s="23"/>
    </row>
    <row r="139" customFormat="false" ht="15" hidden="false" customHeight="true" outlineLevel="0" collapsed="false">
      <c r="A139" s="23"/>
      <c r="B139" s="24"/>
      <c r="C139" s="23"/>
      <c r="D139" s="23"/>
      <c r="E139" s="23"/>
      <c r="F139" s="23"/>
      <c r="G139" s="23"/>
      <c r="H139" s="23"/>
      <c r="I139" s="23"/>
    </row>
    <row r="140" customFormat="false" ht="15" hidden="false" customHeight="true" outlineLevel="0" collapsed="false">
      <c r="A140" s="23"/>
      <c r="B140" s="24"/>
      <c r="C140" s="23"/>
      <c r="D140" s="23"/>
      <c r="E140" s="23"/>
      <c r="F140" s="23"/>
      <c r="G140" s="23"/>
      <c r="H140" s="23"/>
      <c r="I140" s="23"/>
    </row>
    <row r="141" customFormat="false" ht="15" hidden="false" customHeight="true" outlineLevel="0" collapsed="false">
      <c r="A141" s="23"/>
      <c r="B141" s="24"/>
      <c r="C141" s="23"/>
      <c r="D141" s="23"/>
      <c r="E141" s="23"/>
      <c r="F141" s="23"/>
      <c r="G141" s="23"/>
      <c r="H141" s="23"/>
      <c r="I141" s="23"/>
    </row>
    <row r="142" customFormat="false" ht="15" hidden="false" customHeight="true" outlineLevel="0" collapsed="false">
      <c r="A142" s="23"/>
      <c r="B142" s="24"/>
      <c r="C142" s="23"/>
      <c r="D142" s="23"/>
      <c r="E142" s="23"/>
      <c r="F142" s="23"/>
      <c r="G142" s="23"/>
      <c r="H142" s="23"/>
      <c r="I142" s="23"/>
    </row>
    <row r="143" customFormat="false" ht="15" hidden="false" customHeight="true" outlineLevel="0" collapsed="false">
      <c r="A143" s="23"/>
      <c r="B143" s="24"/>
      <c r="C143" s="23"/>
      <c r="D143" s="23"/>
      <c r="E143" s="23"/>
      <c r="F143" s="23"/>
      <c r="G143" s="23"/>
      <c r="H143" s="23"/>
      <c r="I143" s="23"/>
    </row>
    <row r="144" customFormat="false" ht="15" hidden="false" customHeight="true" outlineLevel="0" collapsed="false">
      <c r="A144" s="23"/>
      <c r="B144" s="24"/>
      <c r="C144" s="23"/>
      <c r="D144" s="23"/>
      <c r="E144" s="23"/>
      <c r="F144" s="23"/>
      <c r="G144" s="23"/>
      <c r="H144" s="23"/>
      <c r="I144" s="23"/>
    </row>
    <row r="145" customFormat="false" ht="15" hidden="false" customHeight="true" outlineLevel="0" collapsed="false">
      <c r="A145" s="23"/>
      <c r="B145" s="24"/>
      <c r="C145" s="23"/>
      <c r="D145" s="23"/>
      <c r="E145" s="23"/>
      <c r="F145" s="23"/>
      <c r="G145" s="23"/>
      <c r="H145" s="23"/>
      <c r="I145" s="23"/>
    </row>
    <row r="146" customFormat="false" ht="15" hidden="false" customHeight="true" outlineLevel="0" collapsed="false">
      <c r="A146" s="23"/>
      <c r="B146" s="24"/>
      <c r="C146" s="23"/>
      <c r="D146" s="23"/>
      <c r="E146" s="23"/>
      <c r="F146" s="23"/>
      <c r="G146" s="23"/>
      <c r="H146" s="23"/>
      <c r="I146" s="23"/>
    </row>
    <row r="147" customFormat="false" ht="15" hidden="false" customHeight="true" outlineLevel="0" collapsed="false">
      <c r="A147" s="23"/>
      <c r="B147" s="24"/>
      <c r="C147" s="23"/>
      <c r="D147" s="23"/>
      <c r="E147" s="23"/>
      <c r="F147" s="23"/>
      <c r="G147" s="23"/>
      <c r="H147" s="23"/>
      <c r="I147" s="23"/>
    </row>
    <row r="148" customFormat="false" ht="15" hidden="false" customHeight="true" outlineLevel="0" collapsed="false">
      <c r="A148" s="23"/>
      <c r="B148" s="24"/>
      <c r="C148" s="23"/>
      <c r="D148" s="23"/>
      <c r="E148" s="23"/>
      <c r="F148" s="23"/>
      <c r="G148" s="23"/>
      <c r="H148" s="23"/>
      <c r="I148" s="23"/>
    </row>
    <row r="149" customFormat="false" ht="15" hidden="false" customHeight="true" outlineLevel="0" collapsed="false">
      <c r="A149" s="23"/>
      <c r="B149" s="24"/>
      <c r="C149" s="23"/>
      <c r="D149" s="23"/>
      <c r="E149" s="23"/>
      <c r="F149" s="23"/>
      <c r="G149" s="23"/>
      <c r="H149" s="23"/>
      <c r="I149" s="23"/>
    </row>
    <row r="150" customFormat="false" ht="15" hidden="false" customHeight="true" outlineLevel="0" collapsed="false">
      <c r="A150" s="23"/>
      <c r="B150" s="24"/>
      <c r="C150" s="23"/>
      <c r="D150" s="23"/>
      <c r="E150" s="23"/>
      <c r="F150" s="23"/>
      <c r="G150" s="23"/>
      <c r="H150" s="23"/>
      <c r="I150" s="23"/>
    </row>
    <row r="151" customFormat="false" ht="15" hidden="false" customHeight="true" outlineLevel="0" collapsed="false">
      <c r="A151" s="23"/>
      <c r="B151" s="24"/>
      <c r="C151" s="23"/>
      <c r="D151" s="23"/>
      <c r="E151" s="23"/>
      <c r="F151" s="23"/>
      <c r="G151" s="23"/>
      <c r="H151" s="23"/>
      <c r="I151" s="23"/>
    </row>
    <row r="152" customFormat="false" ht="15" hidden="false" customHeight="true" outlineLevel="0" collapsed="false">
      <c r="A152" s="23"/>
      <c r="B152" s="24"/>
      <c r="C152" s="23"/>
      <c r="D152" s="23"/>
      <c r="E152" s="23"/>
      <c r="F152" s="23"/>
      <c r="G152" s="23"/>
      <c r="H152" s="23"/>
      <c r="I152" s="23"/>
    </row>
    <row r="153" customFormat="false" ht="15" hidden="false" customHeight="true" outlineLevel="0" collapsed="false">
      <c r="A153" s="23"/>
      <c r="B153" s="24"/>
      <c r="C153" s="23"/>
      <c r="D153" s="23"/>
      <c r="E153" s="23"/>
      <c r="F153" s="23"/>
      <c r="G153" s="23"/>
      <c r="H153" s="23"/>
      <c r="I153" s="23"/>
    </row>
    <row r="154" customFormat="false" ht="15" hidden="false" customHeight="true" outlineLevel="0" collapsed="false">
      <c r="A154" s="23"/>
      <c r="B154" s="24"/>
      <c r="C154" s="23"/>
      <c r="D154" s="23"/>
      <c r="E154" s="23"/>
      <c r="F154" s="23"/>
      <c r="G154" s="23"/>
      <c r="H154" s="23"/>
      <c r="I154" s="23"/>
    </row>
    <row r="155" customFormat="false" ht="15" hidden="false" customHeight="true" outlineLevel="0" collapsed="false">
      <c r="A155" s="23"/>
      <c r="B155" s="24"/>
      <c r="C155" s="23"/>
      <c r="D155" s="23"/>
      <c r="E155" s="23"/>
      <c r="F155" s="23"/>
      <c r="G155" s="23"/>
      <c r="H155" s="23"/>
      <c r="I155" s="23"/>
    </row>
    <row r="156" customFormat="false" ht="15" hidden="false" customHeight="true" outlineLevel="0" collapsed="false">
      <c r="A156" s="23"/>
      <c r="B156" s="24"/>
      <c r="C156" s="23"/>
      <c r="D156" s="23"/>
      <c r="E156" s="23"/>
      <c r="F156" s="23"/>
      <c r="G156" s="23"/>
      <c r="H156" s="23"/>
      <c r="I156" s="23"/>
    </row>
    <row r="157" customFormat="false" ht="15" hidden="false" customHeight="true" outlineLevel="0" collapsed="false">
      <c r="A157" s="23"/>
      <c r="B157" s="24"/>
      <c r="C157" s="23"/>
      <c r="D157" s="23"/>
      <c r="E157" s="23"/>
      <c r="F157" s="23"/>
      <c r="G157" s="23"/>
      <c r="H157" s="23"/>
      <c r="I157" s="23"/>
    </row>
    <row r="158" customFormat="false" ht="15" hidden="false" customHeight="true" outlineLevel="0" collapsed="false">
      <c r="A158" s="23"/>
      <c r="B158" s="24"/>
      <c r="C158" s="23"/>
      <c r="D158" s="23"/>
      <c r="E158" s="23"/>
      <c r="F158" s="23"/>
      <c r="G158" s="23"/>
      <c r="H158" s="23"/>
      <c r="I158" s="23"/>
    </row>
    <row r="159" customFormat="false" ht="15" hidden="false" customHeight="true" outlineLevel="0" collapsed="false">
      <c r="A159" s="23"/>
      <c r="B159" s="24"/>
      <c r="C159" s="23"/>
      <c r="D159" s="23"/>
      <c r="E159" s="23"/>
      <c r="F159" s="23"/>
      <c r="G159" s="23"/>
      <c r="H159" s="23"/>
      <c r="I159" s="23"/>
    </row>
    <row r="160" customFormat="false" ht="15" hidden="false" customHeight="true" outlineLevel="0" collapsed="false">
      <c r="A160" s="23"/>
      <c r="B160" s="24"/>
      <c r="C160" s="23"/>
      <c r="D160" s="23"/>
      <c r="E160" s="23"/>
      <c r="F160" s="23"/>
      <c r="G160" s="23"/>
      <c r="H160" s="23"/>
      <c r="I160" s="23"/>
    </row>
    <row r="161" customFormat="false" ht="15" hidden="false" customHeight="true" outlineLevel="0" collapsed="false">
      <c r="A161" s="23"/>
      <c r="B161" s="24"/>
      <c r="C161" s="23"/>
      <c r="D161" s="23"/>
      <c r="E161" s="23"/>
      <c r="F161" s="23"/>
      <c r="G161" s="23"/>
      <c r="H161" s="23"/>
      <c r="I161" s="23"/>
    </row>
    <row r="162" customFormat="false" ht="15" hidden="false" customHeight="true" outlineLevel="0" collapsed="false">
      <c r="A162" s="23"/>
      <c r="B162" s="24"/>
      <c r="C162" s="23"/>
      <c r="D162" s="23"/>
      <c r="E162" s="23"/>
      <c r="F162" s="23"/>
      <c r="G162" s="23"/>
      <c r="H162" s="23"/>
      <c r="I162" s="23"/>
    </row>
    <row r="163" customFormat="false" ht="15" hidden="false" customHeight="true" outlineLevel="0" collapsed="false">
      <c r="A163" s="23"/>
      <c r="B163" s="24"/>
      <c r="C163" s="23"/>
      <c r="D163" s="23"/>
      <c r="E163" s="23"/>
      <c r="F163" s="23"/>
      <c r="G163" s="23"/>
      <c r="H163" s="23"/>
      <c r="I163" s="23"/>
    </row>
    <row r="164" customFormat="false" ht="15" hidden="false" customHeight="true" outlineLevel="0" collapsed="false">
      <c r="A164" s="23"/>
      <c r="B164" s="24"/>
      <c r="C164" s="23"/>
      <c r="D164" s="23"/>
      <c r="E164" s="23"/>
      <c r="F164" s="23"/>
      <c r="G164" s="23"/>
      <c r="H164" s="23"/>
      <c r="I164" s="23"/>
    </row>
    <row r="165" customFormat="false" ht="15" hidden="false" customHeight="true" outlineLevel="0" collapsed="false">
      <c r="A165" s="23"/>
      <c r="B165" s="24"/>
      <c r="C165" s="23"/>
      <c r="D165" s="23"/>
      <c r="E165" s="23"/>
      <c r="F165" s="23"/>
      <c r="G165" s="23"/>
      <c r="H165" s="23"/>
      <c r="I165" s="23"/>
    </row>
    <row r="166" customFormat="false" ht="15" hidden="false" customHeight="true" outlineLevel="0" collapsed="false">
      <c r="A166" s="23"/>
      <c r="B166" s="24"/>
      <c r="C166" s="23"/>
      <c r="D166" s="23"/>
      <c r="E166" s="23"/>
      <c r="F166" s="23"/>
      <c r="G166" s="23"/>
      <c r="H166" s="23"/>
      <c r="I166" s="23"/>
    </row>
    <row r="167" customFormat="false" ht="15" hidden="false" customHeight="true" outlineLevel="0" collapsed="false">
      <c r="A167" s="23"/>
      <c r="B167" s="24"/>
      <c r="C167" s="23"/>
      <c r="D167" s="23"/>
      <c r="E167" s="23"/>
      <c r="F167" s="23"/>
      <c r="G167" s="23"/>
      <c r="H167" s="23"/>
      <c r="I167" s="23"/>
    </row>
    <row r="168" customFormat="false" ht="15" hidden="false" customHeight="true" outlineLevel="0" collapsed="false">
      <c r="A168" s="23"/>
      <c r="B168" s="24"/>
      <c r="C168" s="23"/>
      <c r="D168" s="23"/>
      <c r="E168" s="23"/>
      <c r="F168" s="23"/>
      <c r="G168" s="23"/>
      <c r="H168" s="23"/>
      <c r="I168" s="23"/>
    </row>
    <row r="169" customFormat="false" ht="15" hidden="false" customHeight="true" outlineLevel="0" collapsed="false">
      <c r="A169" s="23"/>
      <c r="B169" s="24"/>
      <c r="C169" s="23"/>
      <c r="D169" s="23"/>
      <c r="E169" s="23"/>
      <c r="F169" s="23"/>
      <c r="G169" s="23"/>
      <c r="H169" s="23"/>
      <c r="I169" s="23"/>
    </row>
    <row r="170" customFormat="false" ht="15" hidden="false" customHeight="true" outlineLevel="0" collapsed="false">
      <c r="A170" s="23"/>
      <c r="B170" s="24"/>
      <c r="C170" s="23"/>
      <c r="D170" s="23"/>
      <c r="E170" s="23"/>
      <c r="F170" s="23"/>
      <c r="G170" s="23"/>
      <c r="H170" s="23"/>
      <c r="I170" s="23"/>
    </row>
    <row r="171" customFormat="false" ht="15" hidden="false" customHeight="true" outlineLevel="0" collapsed="false">
      <c r="A171" s="23"/>
      <c r="B171" s="24"/>
      <c r="C171" s="23"/>
      <c r="D171" s="23"/>
      <c r="E171" s="23"/>
      <c r="F171" s="23"/>
      <c r="G171" s="23"/>
      <c r="H171" s="23"/>
      <c r="I171" s="23"/>
    </row>
    <row r="172" customFormat="false" ht="15" hidden="false" customHeight="true" outlineLevel="0" collapsed="false">
      <c r="A172" s="23"/>
      <c r="B172" s="24"/>
      <c r="C172" s="23"/>
      <c r="D172" s="23"/>
      <c r="E172" s="23"/>
      <c r="F172" s="23"/>
      <c r="G172" s="23"/>
      <c r="H172" s="23"/>
      <c r="I172" s="23"/>
    </row>
    <row r="173" customFormat="false" ht="15" hidden="false" customHeight="true" outlineLevel="0" collapsed="false">
      <c r="A173" s="23"/>
      <c r="B173" s="24"/>
      <c r="C173" s="23"/>
      <c r="D173" s="23"/>
      <c r="E173" s="23"/>
      <c r="F173" s="23"/>
      <c r="G173" s="23"/>
      <c r="H173" s="23"/>
      <c r="I173" s="23"/>
    </row>
    <row r="174" customFormat="false" ht="15" hidden="false" customHeight="true" outlineLevel="0" collapsed="false">
      <c r="A174" s="23"/>
      <c r="B174" s="24"/>
      <c r="C174" s="23"/>
      <c r="D174" s="23"/>
      <c r="E174" s="23"/>
      <c r="F174" s="23"/>
      <c r="G174" s="23"/>
      <c r="H174" s="23"/>
      <c r="I174" s="23"/>
    </row>
    <row r="175" customFormat="false" ht="15" hidden="false" customHeight="true" outlineLevel="0" collapsed="false">
      <c r="A175" s="23"/>
      <c r="B175" s="24"/>
      <c r="C175" s="23"/>
      <c r="D175" s="23"/>
      <c r="E175" s="23"/>
      <c r="F175" s="23"/>
      <c r="G175" s="23"/>
      <c r="H175" s="23"/>
      <c r="I175" s="23"/>
    </row>
    <row r="176" customFormat="false" ht="15" hidden="false" customHeight="true" outlineLevel="0" collapsed="false">
      <c r="A176" s="23"/>
      <c r="B176" s="24"/>
      <c r="C176" s="23"/>
      <c r="D176" s="23"/>
      <c r="E176" s="23"/>
      <c r="F176" s="23"/>
      <c r="G176" s="23"/>
      <c r="H176" s="23"/>
      <c r="I176" s="23"/>
    </row>
    <row r="177" customFormat="false" ht="15" hidden="false" customHeight="true" outlineLevel="0" collapsed="false">
      <c r="A177" s="23"/>
      <c r="B177" s="24"/>
      <c r="C177" s="23"/>
      <c r="D177" s="23"/>
      <c r="E177" s="23"/>
      <c r="F177" s="23"/>
      <c r="G177" s="23"/>
      <c r="H177" s="23"/>
      <c r="I177" s="23"/>
    </row>
    <row r="178" customFormat="false" ht="15" hidden="false" customHeight="true" outlineLevel="0" collapsed="false">
      <c r="A178" s="23"/>
      <c r="B178" s="24"/>
      <c r="C178" s="23"/>
      <c r="D178" s="23"/>
      <c r="E178" s="23"/>
      <c r="F178" s="23"/>
      <c r="G178" s="23"/>
      <c r="H178" s="23"/>
      <c r="I178" s="23"/>
    </row>
    <row r="179" customFormat="false" ht="15" hidden="false" customHeight="true" outlineLevel="0" collapsed="false">
      <c r="A179" s="23"/>
      <c r="B179" s="24"/>
      <c r="C179" s="23"/>
      <c r="D179" s="23"/>
      <c r="E179" s="23"/>
      <c r="F179" s="23"/>
      <c r="G179" s="23"/>
      <c r="H179" s="23"/>
      <c r="I179" s="23"/>
    </row>
    <row r="180" customFormat="false" ht="15" hidden="false" customHeight="true" outlineLevel="0" collapsed="false">
      <c r="A180" s="23"/>
      <c r="B180" s="24"/>
      <c r="C180" s="23"/>
      <c r="D180" s="23"/>
      <c r="E180" s="23"/>
      <c r="F180" s="23"/>
      <c r="G180" s="23"/>
      <c r="H180" s="23"/>
      <c r="I180" s="23"/>
    </row>
    <row r="181" customFormat="false" ht="15" hidden="false" customHeight="true" outlineLevel="0" collapsed="false">
      <c r="A181" s="23"/>
      <c r="B181" s="24"/>
      <c r="C181" s="23"/>
      <c r="D181" s="23"/>
      <c r="E181" s="23"/>
      <c r="F181" s="23"/>
      <c r="G181" s="23"/>
      <c r="H181" s="23"/>
      <c r="I181" s="23"/>
    </row>
    <row r="182" customFormat="false" ht="15" hidden="false" customHeight="true" outlineLevel="0" collapsed="false">
      <c r="A182" s="23"/>
      <c r="B182" s="24"/>
      <c r="C182" s="23"/>
      <c r="D182" s="23"/>
      <c r="E182" s="23"/>
      <c r="F182" s="23"/>
      <c r="G182" s="23"/>
      <c r="H182" s="23"/>
      <c r="I182" s="23"/>
    </row>
    <row r="183" customFormat="false" ht="15" hidden="false" customHeight="true" outlineLevel="0" collapsed="false">
      <c r="A183" s="23"/>
      <c r="B183" s="24"/>
      <c r="C183" s="23"/>
      <c r="D183" s="23"/>
      <c r="E183" s="23"/>
      <c r="F183" s="23"/>
      <c r="G183" s="23"/>
      <c r="H183" s="23"/>
      <c r="I183" s="23"/>
    </row>
    <row r="184" customFormat="false" ht="15" hidden="false" customHeight="true" outlineLevel="0" collapsed="false">
      <c r="A184" s="23"/>
      <c r="B184" s="24"/>
      <c r="C184" s="23"/>
      <c r="D184" s="23"/>
      <c r="E184" s="23"/>
      <c r="F184" s="23"/>
      <c r="G184" s="23"/>
      <c r="H184" s="23"/>
      <c r="I184" s="23"/>
    </row>
    <row r="185" customFormat="false" ht="15" hidden="false" customHeight="true" outlineLevel="0" collapsed="false">
      <c r="A185" s="23"/>
      <c r="B185" s="24"/>
      <c r="C185" s="23"/>
      <c r="D185" s="23"/>
      <c r="E185" s="23"/>
      <c r="F185" s="23"/>
      <c r="G185" s="23"/>
      <c r="H185" s="23"/>
      <c r="I185" s="23"/>
    </row>
    <row r="186" customFormat="false" ht="15" hidden="false" customHeight="true" outlineLevel="0" collapsed="false">
      <c r="A186" s="23"/>
      <c r="B186" s="24"/>
      <c r="C186" s="23"/>
      <c r="D186" s="23"/>
      <c r="E186" s="23"/>
      <c r="F186" s="23"/>
      <c r="G186" s="23"/>
      <c r="H186" s="23"/>
      <c r="I186" s="23"/>
    </row>
    <row r="187" customFormat="false" ht="15" hidden="false" customHeight="true" outlineLevel="0" collapsed="false">
      <c r="A187" s="23"/>
      <c r="B187" s="24"/>
      <c r="C187" s="23"/>
      <c r="D187" s="23"/>
      <c r="E187" s="23"/>
      <c r="F187" s="23"/>
      <c r="G187" s="23"/>
      <c r="H187" s="23"/>
      <c r="I187" s="23"/>
    </row>
    <row r="188" customFormat="false" ht="15" hidden="false" customHeight="true" outlineLevel="0" collapsed="false">
      <c r="A188" s="23"/>
      <c r="B188" s="24"/>
      <c r="C188" s="23"/>
      <c r="D188" s="23"/>
      <c r="E188" s="23"/>
      <c r="F188" s="23"/>
      <c r="G188" s="23"/>
      <c r="H188" s="23"/>
      <c r="I188" s="23"/>
    </row>
    <row r="189" customFormat="false" ht="15" hidden="false" customHeight="true" outlineLevel="0" collapsed="false">
      <c r="A189" s="23"/>
      <c r="B189" s="24"/>
      <c r="C189" s="23"/>
      <c r="D189" s="23"/>
      <c r="E189" s="23"/>
      <c r="F189" s="23"/>
      <c r="G189" s="23"/>
      <c r="H189" s="23"/>
      <c r="I189" s="23"/>
    </row>
    <row r="190" customFormat="false" ht="15" hidden="false" customHeight="true" outlineLevel="0" collapsed="false">
      <c r="A190" s="23"/>
      <c r="B190" s="24"/>
      <c r="C190" s="23"/>
      <c r="D190" s="23"/>
      <c r="E190" s="23"/>
      <c r="F190" s="23"/>
      <c r="G190" s="23"/>
      <c r="H190" s="23"/>
      <c r="I190" s="23"/>
    </row>
    <row r="191" customFormat="false" ht="15" hidden="false" customHeight="true" outlineLevel="0" collapsed="false">
      <c r="A191" s="23"/>
      <c r="B191" s="24"/>
      <c r="C191" s="23"/>
      <c r="D191" s="23"/>
      <c r="E191" s="23"/>
      <c r="F191" s="23"/>
      <c r="G191" s="23"/>
      <c r="H191" s="23"/>
      <c r="I191" s="23"/>
    </row>
    <row r="192" customFormat="false" ht="15" hidden="false" customHeight="true" outlineLevel="0" collapsed="false">
      <c r="A192" s="23"/>
      <c r="B192" s="24"/>
      <c r="C192" s="23"/>
      <c r="D192" s="23"/>
      <c r="E192" s="23"/>
      <c r="F192" s="23"/>
      <c r="G192" s="23"/>
      <c r="H192" s="23"/>
      <c r="I192" s="23"/>
    </row>
    <row r="193" customFormat="false" ht="15" hidden="false" customHeight="true" outlineLevel="0" collapsed="false">
      <c r="A193" s="23"/>
      <c r="B193" s="24"/>
      <c r="C193" s="23"/>
      <c r="D193" s="23"/>
      <c r="E193" s="23"/>
      <c r="F193" s="23"/>
      <c r="G193" s="23"/>
      <c r="H193" s="23"/>
      <c r="I193" s="23"/>
    </row>
    <row r="194" customFormat="false" ht="15" hidden="false" customHeight="true" outlineLevel="0" collapsed="false">
      <c r="A194" s="23"/>
      <c r="B194" s="24"/>
      <c r="C194" s="23"/>
      <c r="D194" s="23"/>
      <c r="E194" s="23"/>
      <c r="F194" s="23"/>
      <c r="G194" s="23"/>
      <c r="H194" s="23"/>
      <c r="I194" s="23"/>
    </row>
    <row r="195" customFormat="false" ht="15" hidden="false" customHeight="true" outlineLevel="0" collapsed="false">
      <c r="A195" s="23"/>
      <c r="B195" s="24"/>
      <c r="C195" s="23"/>
      <c r="D195" s="23"/>
      <c r="E195" s="23"/>
      <c r="F195" s="23"/>
      <c r="G195" s="23"/>
      <c r="H195" s="23"/>
      <c r="I195" s="23"/>
    </row>
    <row r="196" customFormat="false" ht="15" hidden="false" customHeight="true" outlineLevel="0" collapsed="false">
      <c r="A196" s="23"/>
      <c r="B196" s="24"/>
      <c r="C196" s="23"/>
      <c r="D196" s="23"/>
      <c r="E196" s="23"/>
      <c r="F196" s="23"/>
      <c r="G196" s="23"/>
      <c r="H196" s="23"/>
      <c r="I196" s="23"/>
    </row>
    <row r="197" customFormat="false" ht="15" hidden="false" customHeight="true" outlineLevel="0" collapsed="false">
      <c r="A197" s="23"/>
      <c r="B197" s="24"/>
      <c r="C197" s="23"/>
      <c r="D197" s="23"/>
      <c r="E197" s="23"/>
      <c r="F197" s="23"/>
      <c r="G197" s="23"/>
      <c r="H197" s="23"/>
      <c r="I197" s="23"/>
    </row>
    <row r="198" customFormat="false" ht="15" hidden="false" customHeight="true" outlineLevel="0" collapsed="false">
      <c r="A198" s="23"/>
      <c r="B198" s="24"/>
      <c r="C198" s="23"/>
      <c r="D198" s="23"/>
      <c r="E198" s="23"/>
      <c r="F198" s="23"/>
      <c r="G198" s="23"/>
      <c r="H198" s="23"/>
      <c r="I198" s="23"/>
    </row>
    <row r="199" customFormat="false" ht="15" hidden="false" customHeight="true" outlineLevel="0" collapsed="false">
      <c r="A199" s="23"/>
      <c r="B199" s="24"/>
      <c r="C199" s="23"/>
      <c r="D199" s="23"/>
      <c r="E199" s="23"/>
      <c r="F199" s="23"/>
      <c r="G199" s="23"/>
      <c r="H199" s="23"/>
      <c r="I199" s="23"/>
    </row>
    <row r="200" customFormat="false" ht="15" hidden="false" customHeight="true" outlineLevel="0" collapsed="false">
      <c r="A200" s="23"/>
      <c r="B200" s="24"/>
      <c r="C200" s="23"/>
      <c r="D200" s="23"/>
      <c r="E200" s="23"/>
      <c r="F200" s="23"/>
      <c r="G200" s="23"/>
      <c r="H200" s="23"/>
      <c r="I200" s="23"/>
    </row>
    <row r="201" customFormat="false" ht="15" hidden="false" customHeight="true" outlineLevel="0" collapsed="false">
      <c r="A201" s="23"/>
      <c r="B201" s="24"/>
      <c r="C201" s="23"/>
      <c r="D201" s="23"/>
      <c r="E201" s="23"/>
      <c r="F201" s="23"/>
      <c r="G201" s="23"/>
      <c r="H201" s="23"/>
      <c r="I201" s="23"/>
    </row>
    <row r="202" customFormat="false" ht="15" hidden="false" customHeight="true" outlineLevel="0" collapsed="false">
      <c r="A202" s="23"/>
      <c r="B202" s="24"/>
      <c r="C202" s="23"/>
      <c r="D202" s="23"/>
      <c r="E202" s="23"/>
      <c r="F202" s="23"/>
      <c r="G202" s="23"/>
      <c r="H202" s="23"/>
      <c r="I202" s="23"/>
    </row>
    <row r="203" customFormat="false" ht="15" hidden="false" customHeight="true" outlineLevel="0" collapsed="false">
      <c r="A203" s="23"/>
      <c r="B203" s="24"/>
      <c r="C203" s="23"/>
      <c r="D203" s="23"/>
      <c r="E203" s="23"/>
      <c r="F203" s="23"/>
      <c r="G203" s="23"/>
      <c r="H203" s="23"/>
      <c r="I203" s="23"/>
    </row>
  </sheetData>
  <mergeCells count="2">
    <mergeCell ref="A1:I1"/>
    <mergeCell ref="A2:I2"/>
  </mergeCells>
  <dataValidations count="5">
    <dataValidation allowBlank="true" errorStyle="warning" operator="between" promptTitle="Gün" showDropDown="false" showErrorMessage="false" showInputMessage="false" sqref="F4:F203" type="list">
      <formula1>"Pazartesi,Salı,Çarşamba,Perşembe,Cuma"</formula1>
      <formula2>0</formula2>
    </dataValidation>
    <dataValidation allowBlank="true" errorStyle="warning" operator="between" promptTitle="Başlangıç Saati" showDropDown="false" showErrorMessage="false" showInputMessage="false" sqref="G4:G203" type="list">
      <formula1>"08.00,09.00,10.00,11.00,12.00,13.00,14.00,15.00,16.00,17.00"</formula1>
      <formula2>0</formula2>
    </dataValidation>
    <dataValidation allowBlank="true" errorStyle="warning" operator="between" promptTitle="Süre (Saat)" showDropDown="false" showErrorMessage="false" showInputMessage="false" sqref="H4:H203" type="list">
      <formula1>"1,2,3,4,5,6,7,8"</formula1>
      <formula2>0</formula2>
    </dataValidation>
    <dataValidation allowBlank="true" errorStyle="warning" operator="between" promptTitle="Derslik" showDropDown="false" showErrorMessage="false" showInputMessage="false" sqref="I4:I203" type="list">
      <formula1>'Ortak Derslik Listesi'!$B$4:$B$23</formula1>
      <formula2>0</formula2>
    </dataValidation>
    <dataValidation allowBlank="true" errorStyle="warning" operator="between" promptTitle="Öğretim Elemanı" showDropDown="false" showErrorMessage="false" showInputMessage="false" sqref="E4:E203" type="list">
      <formula1>'Fakülte Öğretim Elemanları'!$C$4:$C$78</formula1>
      <formula2>0</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8"/>
    <pageSetUpPr fitToPage="true"/>
  </sheetPr>
  <dimension ref="A1:R6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1"/>
  <cols>
    <col collapsed="false" customWidth="true" hidden="false" outlineLevel="0" max="1" min="1" style="0" width="30"/>
    <col collapsed="false" customWidth="true" hidden="false" outlineLevel="0" max="2" min="2" style="0" width="13"/>
    <col collapsed="false" customWidth="true" hidden="false" outlineLevel="0" max="3" min="3" style="0" width="26"/>
    <col collapsed="false" customWidth="true" hidden="false" outlineLevel="0" max="4" min="4" style="0" width="7"/>
    <col collapsed="false" customWidth="true" hidden="false" outlineLevel="0" max="5" min="5" style="0" width="32"/>
    <col collapsed="false" customWidth="true" hidden="false" outlineLevel="0" max="6" min="6" style="0" width="8"/>
    <col collapsed="false" customWidth="true" hidden="false" outlineLevel="0" max="7" min="7" style="0" width="24"/>
    <col collapsed="false" customWidth="true" hidden="false" outlineLevel="0" max="8" min="8" style="0" width="11"/>
    <col collapsed="false" customWidth="true" hidden="false" outlineLevel="0" max="9" min="9" style="0" width="12"/>
    <col collapsed="false" customWidth="true" hidden="false" outlineLevel="0" max="10" min="10" style="0" width="8"/>
    <col collapsed="false" customWidth="true" hidden="false" outlineLevel="0" max="11" min="11" style="0" width="14"/>
    <col collapsed="false" customWidth="true" hidden="true" outlineLevel="1" max="13" min="12" style="0" width="7"/>
    <col collapsed="false" customWidth="true" hidden="false" outlineLevel="0" max="14" min="14" style="0" width="12"/>
    <col collapsed="false" customWidth="true" hidden="false" outlineLevel="0" max="15" min="15" style="0" width="14"/>
    <col collapsed="false" customWidth="true" hidden="false" outlineLevel="0" max="16" min="16" style="0" width="13"/>
    <col collapsed="false" customWidth="true" hidden="false" outlineLevel="0" max="18" min="17" style="0" width="12"/>
  </cols>
  <sheetData>
    <row r="1" customFormat="false" ht="30" hidden="false" customHeight="true" outlineLevel="0" collapsed="false">
      <c r="A1" s="9" t="s">
        <v>96</v>
      </c>
      <c r="B1" s="9"/>
      <c r="C1" s="9"/>
      <c r="D1" s="9"/>
      <c r="E1" s="9"/>
      <c r="F1" s="9"/>
      <c r="G1" s="9"/>
      <c r="H1" s="9"/>
      <c r="I1" s="9"/>
      <c r="J1" s="9"/>
      <c r="K1" s="9"/>
      <c r="L1" s="9"/>
      <c r="M1" s="9"/>
      <c r="N1" s="9"/>
      <c r="O1" s="9"/>
      <c r="P1" s="9"/>
      <c r="Q1" s="9"/>
      <c r="R1" s="9"/>
    </row>
    <row r="2" customFormat="false" ht="25.5" hidden="false" customHeight="true" outlineLevel="0" collapsed="false">
      <c r="A2" s="22" t="s">
        <v>97</v>
      </c>
      <c r="B2" s="22"/>
      <c r="C2" s="22"/>
      <c r="D2" s="22"/>
      <c r="E2" s="22"/>
      <c r="F2" s="22"/>
      <c r="G2" s="22"/>
      <c r="H2" s="22"/>
      <c r="I2" s="22"/>
      <c r="J2" s="22"/>
      <c r="K2" s="22"/>
      <c r="L2" s="22"/>
      <c r="M2" s="22"/>
      <c r="N2" s="22"/>
      <c r="O2" s="22"/>
      <c r="P2" s="22"/>
      <c r="Q2" s="22"/>
      <c r="R2" s="22"/>
    </row>
    <row r="3" customFormat="false" ht="19.5" hidden="false" customHeight="true" outlineLevel="0" collapsed="false">
      <c r="A3" s="25" t="s">
        <v>98</v>
      </c>
      <c r="B3" s="25"/>
      <c r="C3" s="25"/>
      <c r="D3" s="25"/>
      <c r="E3" s="25"/>
      <c r="F3" s="25"/>
      <c r="G3" s="25"/>
      <c r="H3" s="25"/>
      <c r="I3" s="25"/>
      <c r="J3" s="25"/>
      <c r="K3" s="25"/>
      <c r="L3" s="25"/>
      <c r="M3" s="25"/>
      <c r="N3" s="25"/>
      <c r="O3" s="25"/>
      <c r="P3" s="25"/>
      <c r="Q3" s="25"/>
      <c r="R3" s="25"/>
    </row>
    <row r="4" customFormat="false" ht="24" hidden="false" customHeight="true" outlineLevel="0" collapsed="false">
      <c r="B4" s="26" t="s">
        <v>99</v>
      </c>
      <c r="C4" s="26"/>
      <c r="D4" s="27" t="n">
        <f aca="false">SUMPRODUCT(($A$7:$A$606&lt;&gt;"")*1)</f>
        <v>0</v>
      </c>
      <c r="E4" s="26" t="s">
        <v>100</v>
      </c>
      <c r="F4" s="26"/>
      <c r="G4" s="27" t="n">
        <f aca="false">SUMPRODUCT(($A$7:$A$606&lt;&gt;"")*($P$7:$P$606="⚠ Çakışma"))</f>
        <v>0</v>
      </c>
      <c r="H4" s="26" t="s">
        <v>101</v>
      </c>
      <c r="I4" s="26"/>
      <c r="J4" s="27" t="n">
        <f aca="false">SUMPRODUCT(($A$7:$A$606&lt;&gt;"")*($O$7:$O$606="⚠ Çakışma"))</f>
        <v>0</v>
      </c>
      <c r="K4" s="26" t="s">
        <v>102</v>
      </c>
      <c r="L4" s="26"/>
      <c r="M4" s="27" t="n">
        <f aca="false">SUMPRODUCT(($A$7:$A$606&lt;&gt;"")*($Q$7:$Q$606="⚠ Çakışma"))</f>
        <v>0</v>
      </c>
      <c r="N4" s="26" t="s">
        <v>103</v>
      </c>
      <c r="O4" s="26"/>
      <c r="P4" s="27" t="n">
        <f aca="false">SUMPRODUCT(($A$7:$A$606&lt;&gt;"")*($N$7:$N$606&lt;&gt;""))</f>
        <v>0</v>
      </c>
    </row>
    <row r="6" customFormat="false" ht="31.5" hidden="false" customHeight="true" outlineLevel="0" collapsed="false">
      <c r="A6" s="10" t="s">
        <v>104</v>
      </c>
      <c r="B6" s="10" t="s">
        <v>85</v>
      </c>
      <c r="C6" s="10" t="s">
        <v>86</v>
      </c>
      <c r="D6" s="10" t="s">
        <v>87</v>
      </c>
      <c r="E6" s="10" t="s">
        <v>105</v>
      </c>
      <c r="F6" s="10" t="s">
        <v>88</v>
      </c>
      <c r="G6" s="10" t="s">
        <v>89</v>
      </c>
      <c r="H6" s="10" t="s">
        <v>90</v>
      </c>
      <c r="I6" s="10" t="s">
        <v>91</v>
      </c>
      <c r="J6" s="10" t="s">
        <v>92</v>
      </c>
      <c r="K6" s="10" t="s">
        <v>93</v>
      </c>
      <c r="L6" s="10" t="s">
        <v>106</v>
      </c>
      <c r="M6" s="10" t="s">
        <v>107</v>
      </c>
      <c r="N6" s="10" t="s">
        <v>108</v>
      </c>
      <c r="O6" s="10" t="s">
        <v>109</v>
      </c>
      <c r="P6" s="10" t="s">
        <v>110</v>
      </c>
      <c r="Q6" s="10" t="s">
        <v>111</v>
      </c>
      <c r="R6" s="10" t="s">
        <v>112</v>
      </c>
    </row>
    <row r="7" customFormat="false" ht="13.5" hidden="false" customHeight="true" outlineLevel="0" collapsed="false">
      <c r="A7" s="28" t="str">
        <f aca="false">IF('1-Turizm Rehberliği'!A4="","","Turizm Rehberliği")</f>
        <v/>
      </c>
      <c r="B7" s="28" t="str">
        <f aca="false">IF($A7="","",IF('1-Turizm Rehberliği'!A4="","",'1-Turizm Rehberliği'!A4))</f>
        <v/>
      </c>
      <c r="C7" s="29" t="str">
        <f aca="false">IF($A7="","",IF('1-Turizm Rehberliği'!B4="","",'1-Turizm Rehberliği'!B4))</f>
        <v/>
      </c>
      <c r="D7" s="28" t="str">
        <f aca="false">IF($A7="","",IF('1-Turizm Rehberliği'!C4="","",'1-Turizm Rehberliği'!C4))</f>
        <v/>
      </c>
      <c r="E7" s="28" t="str">
        <f aca="false">IF($A7="","",$A7&amp;"-"&amp;$D7)</f>
        <v/>
      </c>
      <c r="F7" s="28" t="str">
        <f aca="false">IF($A7="","",IF('1-Turizm Rehberliği'!D4="","",'1-Turizm Rehberliği'!D4))</f>
        <v/>
      </c>
      <c r="G7" s="28" t="str">
        <f aca="false">IF($A7="","",IF('1-Turizm Rehberliği'!E4="","",'1-Turizm Rehberliği'!E4))</f>
        <v/>
      </c>
      <c r="H7" s="28" t="str">
        <f aca="false">IF($A7="","",IF('1-Turizm Rehberliği'!F4="","",'1-Turizm Rehberliği'!F4))</f>
        <v/>
      </c>
      <c r="I7" s="28" t="str">
        <f aca="false">IF($A7="","",IF('1-Turizm Rehberliği'!G4="","",'1-Turizm Rehberliği'!G4))</f>
        <v/>
      </c>
      <c r="J7" s="28" t="str">
        <f aca="false">IF($A7="","",IF('1-Turizm Rehberliği'!H4="","",'1-Turizm Rehberliği'!H4))</f>
        <v/>
      </c>
      <c r="K7" s="28" t="str">
        <f aca="false">IF($A7="","",IF('1-Turizm Rehberliği'!I4="","",'1-Turizm Rehberliği'!I4))</f>
        <v/>
      </c>
      <c r="L7" s="28" t="str">
        <f aca="false">IF($I7="","",MATCH($I7,{"08.00";"09.00";"10.00";"11.00";"12.00";"13.00";"14.00";"15.00";"16.00";"17.00"},0))</f>
        <v/>
      </c>
      <c r="M7" s="28" t="str">
        <f aca="false">IF(OR($L7="",$J7=""),"",$L7+$J7-1)</f>
        <v/>
      </c>
      <c r="N7" s="28" t="str">
        <f aca="false">IF($A7="","",IF(OR($L7="",$M7=""),"",IF($M7&gt;10,"⚠ Saat Taşıyor","")))</f>
        <v/>
      </c>
      <c r="O7" s="28" t="str">
        <f aca="false">IF($A7="","",IF(OR($G7="",$H7="",$L7=""),"",IF(SUMPRODUCT(($A$7:$A$606&lt;&gt;"")*($G$7:$G$606=$G7)*($H$7:$H$606=$H7)*(ROW($A$7:$A$606)&lt;&gt;7)*($L$7:$L$606&lt;=$M7)*($M$7:$M$606&gt;=$L7))&gt;0,"⚠ Çakışma","OK")))</f>
        <v/>
      </c>
      <c r="P7" s="28" t="str">
        <f aca="false">IF($A7="","",IF(OR($K7="",$H7="",$L7=""),"",IF(SUMPRODUCT(($A$7:$A$606&lt;&gt;"")*($K$7:$K$606=$K7)*($H$7:$H$606=$H7)*(ROW($A$7:$A$606)&lt;&gt;7)*($L$7:$L$606&lt;=$M7)*($M$7:$M$606&gt;=$L7))&gt;0,"⚠ Çakışma","OK")))</f>
        <v/>
      </c>
      <c r="Q7" s="28" t="str">
        <f aca="false">IF($A7="","",IF(OR($E7="",$H7="",$L7=""),"",IF(SUMPRODUCT(($A$7:$A$606&lt;&gt;"")*($E$7:$E$606=$E7)*($H$7:$H$606=$H7)*(ROW($A$7:$A$606)&lt;&gt;7)*($L$7:$L$606&lt;=$M7)*($M$7:$M$606&gt;=$L7))&gt;0,"⚠ Çakışma","OK")))</f>
        <v/>
      </c>
      <c r="R7" s="28" t="str">
        <f aca="false">IF($A7="","",IF(OR($N7&lt;&gt;"",$O7="⚠ Çakışma",$P7="⚠ Çakışma",$Q7="⚠ Çakışma"),"⚠ Kontrol Et","✓ Uygun"))</f>
        <v/>
      </c>
    </row>
    <row r="8" customFormat="false" ht="13.5" hidden="false" customHeight="true" outlineLevel="0" collapsed="false">
      <c r="A8" s="28" t="str">
        <f aca="false">IF('1-Turizm Rehberliği'!A5="","","Turizm Rehberliği")</f>
        <v/>
      </c>
      <c r="B8" s="28" t="str">
        <f aca="false">IF($A8="","",IF('1-Turizm Rehberliği'!A5="","",'1-Turizm Rehberliği'!A5))</f>
        <v/>
      </c>
      <c r="C8" s="29" t="str">
        <f aca="false">IF($A8="","",IF('1-Turizm Rehberliği'!B5="","",'1-Turizm Rehberliği'!B5))</f>
        <v/>
      </c>
      <c r="D8" s="28" t="str">
        <f aca="false">IF($A8="","",IF('1-Turizm Rehberliği'!C5="","",'1-Turizm Rehberliği'!C5))</f>
        <v/>
      </c>
      <c r="E8" s="28" t="str">
        <f aca="false">IF($A8="","",$A8&amp;"-"&amp;$D8)</f>
        <v/>
      </c>
      <c r="F8" s="28" t="str">
        <f aca="false">IF($A8="","",IF('1-Turizm Rehberliği'!D5="","",'1-Turizm Rehberliği'!D5))</f>
        <v/>
      </c>
      <c r="G8" s="28" t="str">
        <f aca="false">IF($A8="","",IF('1-Turizm Rehberliği'!E5="","",'1-Turizm Rehberliği'!E5))</f>
        <v/>
      </c>
      <c r="H8" s="28" t="str">
        <f aca="false">IF($A8="","",IF('1-Turizm Rehberliği'!F5="","",'1-Turizm Rehberliği'!F5))</f>
        <v/>
      </c>
      <c r="I8" s="28" t="str">
        <f aca="false">IF($A8="","",IF('1-Turizm Rehberliği'!G5="","",'1-Turizm Rehberliği'!G5))</f>
        <v/>
      </c>
      <c r="J8" s="28" t="str">
        <f aca="false">IF($A8="","",IF('1-Turizm Rehberliği'!H5="","",'1-Turizm Rehberliği'!H5))</f>
        <v/>
      </c>
      <c r="K8" s="28" t="str">
        <f aca="false">IF($A8="","",IF('1-Turizm Rehberliği'!I5="","",'1-Turizm Rehberliği'!I5))</f>
        <v/>
      </c>
      <c r="L8" s="28" t="str">
        <f aca="false">IF($I8="","",MATCH($I8,{"08.00";"09.00";"10.00";"11.00";"12.00";"13.00";"14.00";"15.00";"16.00";"17.00"},0))</f>
        <v/>
      </c>
      <c r="M8" s="28" t="str">
        <f aca="false">IF(OR($L8="",$J8=""),"",$L8+$J8-1)</f>
        <v/>
      </c>
      <c r="N8" s="28" t="str">
        <f aca="false">IF($A8="","",IF(OR($L8="",$M8=""),"",IF($M8&gt;10,"⚠ Saat Taşıyor","")))</f>
        <v/>
      </c>
      <c r="O8" s="28" t="str">
        <f aca="false">IF($A8="","",IF(OR($G8="",$H8="",$L8=""),"",IF(SUMPRODUCT(($A$7:$A$606&lt;&gt;"")*($G$7:$G$606=$G8)*($H$7:$H$606=$H8)*(ROW($A$7:$A$606)&lt;&gt;8)*($L$7:$L$606&lt;=$M8)*($M$7:$M$606&gt;=$L8))&gt;0,"⚠ Çakışma","OK")))</f>
        <v/>
      </c>
      <c r="P8" s="28" t="str">
        <f aca="false">IF($A8="","",IF(OR($K8="",$H8="",$L8=""),"",IF(SUMPRODUCT(($A$7:$A$606&lt;&gt;"")*($K$7:$K$606=$K8)*($H$7:$H$606=$H8)*(ROW($A$7:$A$606)&lt;&gt;8)*($L$7:$L$606&lt;=$M8)*($M$7:$M$606&gt;=$L8))&gt;0,"⚠ Çakışma","OK")))</f>
        <v/>
      </c>
      <c r="Q8" s="28" t="str">
        <f aca="false">IF($A8="","",IF(OR($E8="",$H8="",$L8=""),"",IF(SUMPRODUCT(($A$7:$A$606&lt;&gt;"")*($E$7:$E$606=$E8)*($H$7:$H$606=$H8)*(ROW($A$7:$A$606)&lt;&gt;8)*($L$7:$L$606&lt;=$M8)*($M$7:$M$606&gt;=$L8))&gt;0,"⚠ Çakışma","OK")))</f>
        <v/>
      </c>
      <c r="R8" s="28" t="str">
        <f aca="false">IF($A8="","",IF(OR($N8&lt;&gt;"",$O8="⚠ Çakışma",$P8="⚠ Çakışma",$Q8="⚠ Çakışma"),"⚠ Kontrol Et","✓ Uygun"))</f>
        <v/>
      </c>
    </row>
    <row r="9" customFormat="false" ht="13.5" hidden="false" customHeight="true" outlineLevel="0" collapsed="false">
      <c r="A9" s="28" t="str">
        <f aca="false">IF('1-Turizm Rehberliği'!A6="","","Turizm Rehberliği")</f>
        <v/>
      </c>
      <c r="B9" s="28" t="str">
        <f aca="false">IF($A9="","",IF('1-Turizm Rehberliği'!A6="","",'1-Turizm Rehberliği'!A6))</f>
        <v/>
      </c>
      <c r="C9" s="29" t="str">
        <f aca="false">IF($A9="","",IF('1-Turizm Rehberliği'!B6="","",'1-Turizm Rehberliği'!B6))</f>
        <v/>
      </c>
      <c r="D9" s="28" t="str">
        <f aca="false">IF($A9="","",IF('1-Turizm Rehberliği'!C6="","",'1-Turizm Rehberliği'!C6))</f>
        <v/>
      </c>
      <c r="E9" s="28" t="str">
        <f aca="false">IF($A9="","",$A9&amp;"-"&amp;$D9)</f>
        <v/>
      </c>
      <c r="F9" s="28" t="str">
        <f aca="false">IF($A9="","",IF('1-Turizm Rehberliği'!D6="","",'1-Turizm Rehberliği'!D6))</f>
        <v/>
      </c>
      <c r="G9" s="28" t="str">
        <f aca="false">IF($A9="","",IF('1-Turizm Rehberliği'!E6="","",'1-Turizm Rehberliği'!E6))</f>
        <v/>
      </c>
      <c r="H9" s="28" t="str">
        <f aca="false">IF($A9="","",IF('1-Turizm Rehberliği'!F6="","",'1-Turizm Rehberliği'!F6))</f>
        <v/>
      </c>
      <c r="I9" s="28" t="str">
        <f aca="false">IF($A9="","",IF('1-Turizm Rehberliği'!G6="","",'1-Turizm Rehberliği'!G6))</f>
        <v/>
      </c>
      <c r="J9" s="28" t="str">
        <f aca="false">IF($A9="","",IF('1-Turizm Rehberliği'!H6="","",'1-Turizm Rehberliği'!H6))</f>
        <v/>
      </c>
      <c r="K9" s="28" t="str">
        <f aca="false">IF($A9="","",IF('1-Turizm Rehberliği'!I6="","",'1-Turizm Rehberliği'!I6))</f>
        <v/>
      </c>
      <c r="L9" s="28" t="str">
        <f aca="false">IF($I9="","",MATCH($I9,{"08.00";"09.00";"10.00";"11.00";"12.00";"13.00";"14.00";"15.00";"16.00";"17.00"},0))</f>
        <v/>
      </c>
      <c r="M9" s="28" t="str">
        <f aca="false">IF(OR($L9="",$J9=""),"",$L9+$J9-1)</f>
        <v/>
      </c>
      <c r="N9" s="28" t="str">
        <f aca="false">IF($A9="","",IF(OR($L9="",$M9=""),"",IF($M9&gt;10,"⚠ Saat Taşıyor","")))</f>
        <v/>
      </c>
      <c r="O9" s="28" t="str">
        <f aca="false">IF($A9="","",IF(OR($G9="",$H9="",$L9=""),"",IF(SUMPRODUCT(($A$7:$A$606&lt;&gt;"")*($G$7:$G$606=$G9)*($H$7:$H$606=$H9)*(ROW($A$7:$A$606)&lt;&gt;9)*($L$7:$L$606&lt;=$M9)*($M$7:$M$606&gt;=$L9))&gt;0,"⚠ Çakışma","OK")))</f>
        <v/>
      </c>
      <c r="P9" s="28" t="str">
        <f aca="false">IF($A9="","",IF(OR($K9="",$H9="",$L9=""),"",IF(SUMPRODUCT(($A$7:$A$606&lt;&gt;"")*($K$7:$K$606=$K9)*($H$7:$H$606=$H9)*(ROW($A$7:$A$606)&lt;&gt;9)*($L$7:$L$606&lt;=$M9)*($M$7:$M$606&gt;=$L9))&gt;0,"⚠ Çakışma","OK")))</f>
        <v/>
      </c>
      <c r="Q9" s="28" t="str">
        <f aca="false">IF($A9="","",IF(OR($E9="",$H9="",$L9=""),"",IF(SUMPRODUCT(($A$7:$A$606&lt;&gt;"")*($E$7:$E$606=$E9)*($H$7:$H$606=$H9)*(ROW($A$7:$A$606)&lt;&gt;9)*($L$7:$L$606&lt;=$M9)*($M$7:$M$606&gt;=$L9))&gt;0,"⚠ Çakışma","OK")))</f>
        <v/>
      </c>
      <c r="R9" s="28" t="str">
        <f aca="false">IF($A9="","",IF(OR($N9&lt;&gt;"",$O9="⚠ Çakışma",$P9="⚠ Çakışma",$Q9="⚠ Çakışma"),"⚠ Kontrol Et","✓ Uygun"))</f>
        <v/>
      </c>
    </row>
    <row r="10" customFormat="false" ht="13.5" hidden="false" customHeight="true" outlineLevel="0" collapsed="false">
      <c r="A10" s="28" t="str">
        <f aca="false">IF('1-Turizm Rehberliği'!A7="","","Turizm Rehberliği")</f>
        <v/>
      </c>
      <c r="B10" s="28" t="str">
        <f aca="false">IF($A10="","",IF('1-Turizm Rehberliği'!A7="","",'1-Turizm Rehberliği'!A7))</f>
        <v/>
      </c>
      <c r="C10" s="29" t="str">
        <f aca="false">IF($A10="","",IF('1-Turizm Rehberliği'!B7="","",'1-Turizm Rehberliği'!B7))</f>
        <v/>
      </c>
      <c r="D10" s="28" t="str">
        <f aca="false">IF($A10="","",IF('1-Turizm Rehberliği'!C7="","",'1-Turizm Rehberliği'!C7))</f>
        <v/>
      </c>
      <c r="E10" s="28" t="str">
        <f aca="false">IF($A10="","",$A10&amp;"-"&amp;$D10)</f>
        <v/>
      </c>
      <c r="F10" s="28" t="str">
        <f aca="false">IF($A10="","",IF('1-Turizm Rehberliği'!D7="","",'1-Turizm Rehberliği'!D7))</f>
        <v/>
      </c>
      <c r="G10" s="28" t="str">
        <f aca="false">IF($A10="","",IF('1-Turizm Rehberliği'!E7="","",'1-Turizm Rehberliği'!E7))</f>
        <v/>
      </c>
      <c r="H10" s="28" t="str">
        <f aca="false">IF($A10="","",IF('1-Turizm Rehberliği'!F7="","",'1-Turizm Rehberliği'!F7))</f>
        <v/>
      </c>
      <c r="I10" s="28" t="str">
        <f aca="false">IF($A10="","",IF('1-Turizm Rehberliği'!G7="","",'1-Turizm Rehberliği'!G7))</f>
        <v/>
      </c>
      <c r="J10" s="28" t="str">
        <f aca="false">IF($A10="","",IF('1-Turizm Rehberliği'!H7="","",'1-Turizm Rehberliği'!H7))</f>
        <v/>
      </c>
      <c r="K10" s="28" t="str">
        <f aca="false">IF($A10="","",IF('1-Turizm Rehberliği'!I7="","",'1-Turizm Rehberliği'!I7))</f>
        <v/>
      </c>
      <c r="L10" s="28" t="str">
        <f aca="false">IF($I10="","",MATCH($I10,{"08.00";"09.00";"10.00";"11.00";"12.00";"13.00";"14.00";"15.00";"16.00";"17.00"},0))</f>
        <v/>
      </c>
      <c r="M10" s="28" t="str">
        <f aca="false">IF(OR($L10="",$J10=""),"",$L10+$J10-1)</f>
        <v/>
      </c>
      <c r="N10" s="28" t="str">
        <f aca="false">IF($A10="","",IF(OR($L10="",$M10=""),"",IF($M10&gt;10,"⚠ Saat Taşıyor","")))</f>
        <v/>
      </c>
      <c r="O10" s="28" t="str">
        <f aca="false">IF($A10="","",IF(OR($G10="",$H10="",$L10=""),"",IF(SUMPRODUCT(($A$7:$A$606&lt;&gt;"")*($G$7:$G$606=$G10)*($H$7:$H$606=$H10)*(ROW($A$7:$A$606)&lt;&gt;10)*($L$7:$L$606&lt;=$M10)*($M$7:$M$606&gt;=$L10))&gt;0,"⚠ Çakışma","OK")))</f>
        <v/>
      </c>
      <c r="P10" s="28" t="str">
        <f aca="false">IF($A10="","",IF(OR($K10="",$H10="",$L10=""),"",IF(SUMPRODUCT(($A$7:$A$606&lt;&gt;"")*($K$7:$K$606=$K10)*($H$7:$H$606=$H10)*(ROW($A$7:$A$606)&lt;&gt;10)*($L$7:$L$606&lt;=$M10)*($M$7:$M$606&gt;=$L10))&gt;0,"⚠ Çakışma","OK")))</f>
        <v/>
      </c>
      <c r="Q10" s="28" t="str">
        <f aca="false">IF($A10="","",IF(OR($E10="",$H10="",$L10=""),"",IF(SUMPRODUCT(($A$7:$A$606&lt;&gt;"")*($E$7:$E$606=$E10)*($H$7:$H$606=$H10)*(ROW($A$7:$A$606)&lt;&gt;10)*($L$7:$L$606&lt;=$M10)*($M$7:$M$606&gt;=$L10))&gt;0,"⚠ Çakışma","OK")))</f>
        <v/>
      </c>
      <c r="R10" s="28" t="str">
        <f aca="false">IF($A10="","",IF(OR($N10&lt;&gt;"",$O10="⚠ Çakışma",$P10="⚠ Çakışma",$Q10="⚠ Çakışma"),"⚠ Kontrol Et","✓ Uygun"))</f>
        <v/>
      </c>
    </row>
    <row r="11" customFormat="false" ht="13.5" hidden="false" customHeight="true" outlineLevel="0" collapsed="false">
      <c r="A11" s="28" t="str">
        <f aca="false">IF('1-Turizm Rehberliği'!A8="","","Turizm Rehberliği")</f>
        <v/>
      </c>
      <c r="B11" s="28" t="str">
        <f aca="false">IF($A11="","",IF('1-Turizm Rehberliği'!A8="","",'1-Turizm Rehberliği'!A8))</f>
        <v/>
      </c>
      <c r="C11" s="29" t="str">
        <f aca="false">IF($A11="","",IF('1-Turizm Rehberliği'!B8="","",'1-Turizm Rehberliği'!B8))</f>
        <v/>
      </c>
      <c r="D11" s="28" t="str">
        <f aca="false">IF($A11="","",IF('1-Turizm Rehberliği'!C8="","",'1-Turizm Rehberliği'!C8))</f>
        <v/>
      </c>
      <c r="E11" s="28" t="str">
        <f aca="false">IF($A11="","",$A11&amp;"-"&amp;$D11)</f>
        <v/>
      </c>
      <c r="F11" s="28" t="str">
        <f aca="false">IF($A11="","",IF('1-Turizm Rehberliği'!D8="","",'1-Turizm Rehberliği'!D8))</f>
        <v/>
      </c>
      <c r="G11" s="28" t="str">
        <f aca="false">IF($A11="","",IF('1-Turizm Rehberliği'!E8="","",'1-Turizm Rehberliği'!E8))</f>
        <v/>
      </c>
      <c r="H11" s="28" t="str">
        <f aca="false">IF($A11="","",IF('1-Turizm Rehberliği'!F8="","",'1-Turizm Rehberliği'!F8))</f>
        <v/>
      </c>
      <c r="I11" s="28" t="str">
        <f aca="false">IF($A11="","",IF('1-Turizm Rehberliği'!G8="","",'1-Turizm Rehberliği'!G8))</f>
        <v/>
      </c>
      <c r="J11" s="28" t="str">
        <f aca="false">IF($A11="","",IF('1-Turizm Rehberliği'!H8="","",'1-Turizm Rehberliği'!H8))</f>
        <v/>
      </c>
      <c r="K11" s="28" t="str">
        <f aca="false">IF($A11="","",IF('1-Turizm Rehberliği'!I8="","",'1-Turizm Rehberliği'!I8))</f>
        <v/>
      </c>
      <c r="L11" s="28" t="str">
        <f aca="false">IF($I11="","",MATCH($I11,{"08.00";"09.00";"10.00";"11.00";"12.00";"13.00";"14.00";"15.00";"16.00";"17.00"},0))</f>
        <v/>
      </c>
      <c r="M11" s="28" t="str">
        <f aca="false">IF(OR($L11="",$J11=""),"",$L11+$J11-1)</f>
        <v/>
      </c>
      <c r="N11" s="28" t="str">
        <f aca="false">IF($A11="","",IF(OR($L11="",$M11=""),"",IF($M11&gt;10,"⚠ Saat Taşıyor","")))</f>
        <v/>
      </c>
      <c r="O11" s="28" t="str">
        <f aca="false">IF($A11="","",IF(OR($G11="",$H11="",$L11=""),"",IF(SUMPRODUCT(($A$7:$A$606&lt;&gt;"")*($G$7:$G$606=$G11)*($H$7:$H$606=$H11)*(ROW($A$7:$A$606)&lt;&gt;11)*($L$7:$L$606&lt;=$M11)*($M$7:$M$606&gt;=$L11))&gt;0,"⚠ Çakışma","OK")))</f>
        <v/>
      </c>
      <c r="P11" s="28" t="str">
        <f aca="false">IF($A11="","",IF(OR($K11="",$H11="",$L11=""),"",IF(SUMPRODUCT(($A$7:$A$606&lt;&gt;"")*($K$7:$K$606=$K11)*($H$7:$H$606=$H11)*(ROW($A$7:$A$606)&lt;&gt;11)*($L$7:$L$606&lt;=$M11)*($M$7:$M$606&gt;=$L11))&gt;0,"⚠ Çakışma","OK")))</f>
        <v/>
      </c>
      <c r="Q11" s="28" t="str">
        <f aca="false">IF($A11="","",IF(OR($E11="",$H11="",$L11=""),"",IF(SUMPRODUCT(($A$7:$A$606&lt;&gt;"")*($E$7:$E$606=$E11)*($H$7:$H$606=$H11)*(ROW($A$7:$A$606)&lt;&gt;11)*($L$7:$L$606&lt;=$M11)*($M$7:$M$606&gt;=$L11))&gt;0,"⚠ Çakışma","OK")))</f>
        <v/>
      </c>
      <c r="R11" s="28" t="str">
        <f aca="false">IF($A11="","",IF(OR($N11&lt;&gt;"",$O11="⚠ Çakışma",$P11="⚠ Çakışma",$Q11="⚠ Çakışma"),"⚠ Kontrol Et","✓ Uygun"))</f>
        <v/>
      </c>
    </row>
    <row r="12" customFormat="false" ht="13.5" hidden="false" customHeight="true" outlineLevel="0" collapsed="false">
      <c r="A12" s="28" t="str">
        <f aca="false">IF('1-Turizm Rehberliği'!A9="","","Turizm Rehberliği")</f>
        <v/>
      </c>
      <c r="B12" s="28" t="str">
        <f aca="false">IF($A12="","",IF('1-Turizm Rehberliği'!A9="","",'1-Turizm Rehberliği'!A9))</f>
        <v/>
      </c>
      <c r="C12" s="29" t="str">
        <f aca="false">IF($A12="","",IF('1-Turizm Rehberliği'!B9="","",'1-Turizm Rehberliği'!B9))</f>
        <v/>
      </c>
      <c r="D12" s="28" t="str">
        <f aca="false">IF($A12="","",IF('1-Turizm Rehberliği'!C9="","",'1-Turizm Rehberliği'!C9))</f>
        <v/>
      </c>
      <c r="E12" s="28" t="str">
        <f aca="false">IF($A12="","",$A12&amp;"-"&amp;$D12)</f>
        <v/>
      </c>
      <c r="F12" s="28" t="str">
        <f aca="false">IF($A12="","",IF('1-Turizm Rehberliği'!D9="","",'1-Turizm Rehberliği'!D9))</f>
        <v/>
      </c>
      <c r="G12" s="28" t="str">
        <f aca="false">IF($A12="","",IF('1-Turizm Rehberliği'!E9="","",'1-Turizm Rehberliği'!E9))</f>
        <v/>
      </c>
      <c r="H12" s="28" t="str">
        <f aca="false">IF($A12="","",IF('1-Turizm Rehberliği'!F9="","",'1-Turizm Rehberliği'!F9))</f>
        <v/>
      </c>
      <c r="I12" s="28" t="str">
        <f aca="false">IF($A12="","",IF('1-Turizm Rehberliği'!G9="","",'1-Turizm Rehberliği'!G9))</f>
        <v/>
      </c>
      <c r="J12" s="28" t="str">
        <f aca="false">IF($A12="","",IF('1-Turizm Rehberliği'!H9="","",'1-Turizm Rehberliği'!H9))</f>
        <v/>
      </c>
      <c r="K12" s="28" t="str">
        <f aca="false">IF($A12="","",IF('1-Turizm Rehberliği'!I9="","",'1-Turizm Rehberliği'!I9))</f>
        <v/>
      </c>
      <c r="L12" s="28" t="str">
        <f aca="false">IF($I12="","",MATCH($I12,{"08.00";"09.00";"10.00";"11.00";"12.00";"13.00";"14.00";"15.00";"16.00";"17.00"},0))</f>
        <v/>
      </c>
      <c r="M12" s="28" t="str">
        <f aca="false">IF(OR($L12="",$J12=""),"",$L12+$J12-1)</f>
        <v/>
      </c>
      <c r="N12" s="28" t="str">
        <f aca="false">IF($A12="","",IF(OR($L12="",$M12=""),"",IF($M12&gt;10,"⚠ Saat Taşıyor","")))</f>
        <v/>
      </c>
      <c r="O12" s="28" t="str">
        <f aca="false">IF($A12="","",IF(OR($G12="",$H12="",$L12=""),"",IF(SUMPRODUCT(($A$7:$A$606&lt;&gt;"")*($G$7:$G$606=$G12)*($H$7:$H$606=$H12)*(ROW($A$7:$A$606)&lt;&gt;12)*($L$7:$L$606&lt;=$M12)*($M$7:$M$606&gt;=$L12))&gt;0,"⚠ Çakışma","OK")))</f>
        <v/>
      </c>
      <c r="P12" s="28" t="str">
        <f aca="false">IF($A12="","",IF(OR($K12="",$H12="",$L12=""),"",IF(SUMPRODUCT(($A$7:$A$606&lt;&gt;"")*($K$7:$K$606=$K12)*($H$7:$H$606=$H12)*(ROW($A$7:$A$606)&lt;&gt;12)*($L$7:$L$606&lt;=$M12)*($M$7:$M$606&gt;=$L12))&gt;0,"⚠ Çakışma","OK")))</f>
        <v/>
      </c>
      <c r="Q12" s="28" t="str">
        <f aca="false">IF($A12="","",IF(OR($E12="",$H12="",$L12=""),"",IF(SUMPRODUCT(($A$7:$A$606&lt;&gt;"")*($E$7:$E$606=$E12)*($H$7:$H$606=$H12)*(ROW($A$7:$A$606)&lt;&gt;12)*($L$7:$L$606&lt;=$M12)*($M$7:$M$606&gt;=$L12))&gt;0,"⚠ Çakışma","OK")))</f>
        <v/>
      </c>
      <c r="R12" s="28" t="str">
        <f aca="false">IF($A12="","",IF(OR($N12&lt;&gt;"",$O12="⚠ Çakışma",$P12="⚠ Çakışma",$Q12="⚠ Çakışma"),"⚠ Kontrol Et","✓ Uygun"))</f>
        <v/>
      </c>
    </row>
    <row r="13" customFormat="false" ht="13.5" hidden="false" customHeight="true" outlineLevel="0" collapsed="false">
      <c r="A13" s="28" t="str">
        <f aca="false">IF('1-Turizm Rehberliği'!A10="","","Turizm Rehberliği")</f>
        <v/>
      </c>
      <c r="B13" s="28" t="str">
        <f aca="false">IF($A13="","",IF('1-Turizm Rehberliği'!A10="","",'1-Turizm Rehberliği'!A10))</f>
        <v/>
      </c>
      <c r="C13" s="29" t="str">
        <f aca="false">IF($A13="","",IF('1-Turizm Rehberliği'!B10="","",'1-Turizm Rehberliği'!B10))</f>
        <v/>
      </c>
      <c r="D13" s="28" t="str">
        <f aca="false">IF($A13="","",IF('1-Turizm Rehberliği'!C10="","",'1-Turizm Rehberliği'!C10))</f>
        <v/>
      </c>
      <c r="E13" s="28" t="str">
        <f aca="false">IF($A13="","",$A13&amp;"-"&amp;$D13)</f>
        <v/>
      </c>
      <c r="F13" s="28" t="str">
        <f aca="false">IF($A13="","",IF('1-Turizm Rehberliği'!D10="","",'1-Turizm Rehberliği'!D10))</f>
        <v/>
      </c>
      <c r="G13" s="28" t="str">
        <f aca="false">IF($A13="","",IF('1-Turizm Rehberliği'!E10="","",'1-Turizm Rehberliği'!E10))</f>
        <v/>
      </c>
      <c r="H13" s="28" t="str">
        <f aca="false">IF($A13="","",IF('1-Turizm Rehberliği'!F10="","",'1-Turizm Rehberliği'!F10))</f>
        <v/>
      </c>
      <c r="I13" s="28" t="str">
        <f aca="false">IF($A13="","",IF('1-Turizm Rehberliği'!G10="","",'1-Turizm Rehberliği'!G10))</f>
        <v/>
      </c>
      <c r="J13" s="28" t="str">
        <f aca="false">IF($A13="","",IF('1-Turizm Rehberliği'!H10="","",'1-Turizm Rehberliği'!H10))</f>
        <v/>
      </c>
      <c r="K13" s="28" t="str">
        <f aca="false">IF($A13="","",IF('1-Turizm Rehberliği'!I10="","",'1-Turizm Rehberliği'!I10))</f>
        <v/>
      </c>
      <c r="L13" s="28" t="str">
        <f aca="false">IF($I13="","",MATCH($I13,{"08.00";"09.00";"10.00";"11.00";"12.00";"13.00";"14.00";"15.00";"16.00";"17.00"},0))</f>
        <v/>
      </c>
      <c r="M13" s="28" t="str">
        <f aca="false">IF(OR($L13="",$J13=""),"",$L13+$J13-1)</f>
        <v/>
      </c>
      <c r="N13" s="28" t="str">
        <f aca="false">IF($A13="","",IF(OR($L13="",$M13=""),"",IF($M13&gt;10,"⚠ Saat Taşıyor","")))</f>
        <v/>
      </c>
      <c r="O13" s="28" t="str">
        <f aca="false">IF($A13="","",IF(OR($G13="",$H13="",$L13=""),"",IF(SUMPRODUCT(($A$7:$A$606&lt;&gt;"")*($G$7:$G$606=$G13)*($H$7:$H$606=$H13)*(ROW($A$7:$A$606)&lt;&gt;13)*($L$7:$L$606&lt;=$M13)*($M$7:$M$606&gt;=$L13))&gt;0,"⚠ Çakışma","OK")))</f>
        <v/>
      </c>
      <c r="P13" s="28" t="str">
        <f aca="false">IF($A13="","",IF(OR($K13="",$H13="",$L13=""),"",IF(SUMPRODUCT(($A$7:$A$606&lt;&gt;"")*($K$7:$K$606=$K13)*($H$7:$H$606=$H13)*(ROW($A$7:$A$606)&lt;&gt;13)*($L$7:$L$606&lt;=$M13)*($M$7:$M$606&gt;=$L13))&gt;0,"⚠ Çakışma","OK")))</f>
        <v/>
      </c>
      <c r="Q13" s="28" t="str">
        <f aca="false">IF($A13="","",IF(OR($E13="",$H13="",$L13=""),"",IF(SUMPRODUCT(($A$7:$A$606&lt;&gt;"")*($E$7:$E$606=$E13)*($H$7:$H$606=$H13)*(ROW($A$7:$A$606)&lt;&gt;13)*($L$7:$L$606&lt;=$M13)*($M$7:$M$606&gt;=$L13))&gt;0,"⚠ Çakışma","OK")))</f>
        <v/>
      </c>
      <c r="R13" s="28" t="str">
        <f aca="false">IF($A13="","",IF(OR($N13&lt;&gt;"",$O13="⚠ Çakışma",$P13="⚠ Çakışma",$Q13="⚠ Çakışma"),"⚠ Kontrol Et","✓ Uygun"))</f>
        <v/>
      </c>
    </row>
    <row r="14" customFormat="false" ht="13.5" hidden="false" customHeight="true" outlineLevel="0" collapsed="false">
      <c r="A14" s="28" t="str">
        <f aca="false">IF('1-Turizm Rehberliği'!A11="","","Turizm Rehberliği")</f>
        <v/>
      </c>
      <c r="B14" s="28" t="str">
        <f aca="false">IF($A14="","",IF('1-Turizm Rehberliği'!A11="","",'1-Turizm Rehberliği'!A11))</f>
        <v/>
      </c>
      <c r="C14" s="29" t="str">
        <f aca="false">IF($A14="","",IF('1-Turizm Rehberliği'!B11="","",'1-Turizm Rehberliği'!B11))</f>
        <v/>
      </c>
      <c r="D14" s="28" t="str">
        <f aca="false">IF($A14="","",IF('1-Turizm Rehberliği'!C11="","",'1-Turizm Rehberliği'!C11))</f>
        <v/>
      </c>
      <c r="E14" s="28" t="str">
        <f aca="false">IF($A14="","",$A14&amp;"-"&amp;$D14)</f>
        <v/>
      </c>
      <c r="F14" s="28" t="str">
        <f aca="false">IF($A14="","",IF('1-Turizm Rehberliği'!D11="","",'1-Turizm Rehberliği'!D11))</f>
        <v/>
      </c>
      <c r="G14" s="28" t="str">
        <f aca="false">IF($A14="","",IF('1-Turizm Rehberliği'!E11="","",'1-Turizm Rehberliği'!E11))</f>
        <v/>
      </c>
      <c r="H14" s="28" t="str">
        <f aca="false">IF($A14="","",IF('1-Turizm Rehberliği'!F11="","",'1-Turizm Rehberliği'!F11))</f>
        <v/>
      </c>
      <c r="I14" s="28" t="str">
        <f aca="false">IF($A14="","",IF('1-Turizm Rehberliği'!G11="","",'1-Turizm Rehberliği'!G11))</f>
        <v/>
      </c>
      <c r="J14" s="28" t="str">
        <f aca="false">IF($A14="","",IF('1-Turizm Rehberliği'!H11="","",'1-Turizm Rehberliği'!H11))</f>
        <v/>
      </c>
      <c r="K14" s="28" t="str">
        <f aca="false">IF($A14="","",IF('1-Turizm Rehberliği'!I11="","",'1-Turizm Rehberliği'!I11))</f>
        <v/>
      </c>
      <c r="L14" s="28" t="str">
        <f aca="false">IF($I14="","",MATCH($I14,{"08.00";"09.00";"10.00";"11.00";"12.00";"13.00";"14.00";"15.00";"16.00";"17.00"},0))</f>
        <v/>
      </c>
      <c r="M14" s="28" t="str">
        <f aca="false">IF(OR($L14="",$J14=""),"",$L14+$J14-1)</f>
        <v/>
      </c>
      <c r="N14" s="28" t="str">
        <f aca="false">IF($A14="","",IF(OR($L14="",$M14=""),"",IF($M14&gt;10,"⚠ Saat Taşıyor","")))</f>
        <v/>
      </c>
      <c r="O14" s="28" t="str">
        <f aca="false">IF($A14="","",IF(OR($G14="",$H14="",$L14=""),"",IF(SUMPRODUCT(($A$7:$A$606&lt;&gt;"")*($G$7:$G$606=$G14)*($H$7:$H$606=$H14)*(ROW($A$7:$A$606)&lt;&gt;14)*($L$7:$L$606&lt;=$M14)*($M$7:$M$606&gt;=$L14))&gt;0,"⚠ Çakışma","OK")))</f>
        <v/>
      </c>
      <c r="P14" s="28" t="str">
        <f aca="false">IF($A14="","",IF(OR($K14="",$H14="",$L14=""),"",IF(SUMPRODUCT(($A$7:$A$606&lt;&gt;"")*($K$7:$K$606=$K14)*($H$7:$H$606=$H14)*(ROW($A$7:$A$606)&lt;&gt;14)*($L$7:$L$606&lt;=$M14)*($M$7:$M$606&gt;=$L14))&gt;0,"⚠ Çakışma","OK")))</f>
        <v/>
      </c>
      <c r="Q14" s="28" t="str">
        <f aca="false">IF($A14="","",IF(OR($E14="",$H14="",$L14=""),"",IF(SUMPRODUCT(($A$7:$A$606&lt;&gt;"")*($E$7:$E$606=$E14)*($H$7:$H$606=$H14)*(ROW($A$7:$A$606)&lt;&gt;14)*($L$7:$L$606&lt;=$M14)*($M$7:$M$606&gt;=$L14))&gt;0,"⚠ Çakışma","OK")))</f>
        <v/>
      </c>
      <c r="R14" s="28" t="str">
        <f aca="false">IF($A14="","",IF(OR($N14&lt;&gt;"",$O14="⚠ Çakışma",$P14="⚠ Çakışma",$Q14="⚠ Çakışma"),"⚠ Kontrol Et","✓ Uygun"))</f>
        <v/>
      </c>
    </row>
    <row r="15" customFormat="false" ht="13.5" hidden="false" customHeight="true" outlineLevel="0" collapsed="false">
      <c r="A15" s="28" t="str">
        <f aca="false">IF('1-Turizm Rehberliği'!A12="","","Turizm Rehberliği")</f>
        <v/>
      </c>
      <c r="B15" s="28" t="str">
        <f aca="false">IF($A15="","",IF('1-Turizm Rehberliği'!A12="","",'1-Turizm Rehberliği'!A12))</f>
        <v/>
      </c>
      <c r="C15" s="29" t="str">
        <f aca="false">IF($A15="","",IF('1-Turizm Rehberliği'!B12="","",'1-Turizm Rehberliği'!B12))</f>
        <v/>
      </c>
      <c r="D15" s="28" t="str">
        <f aca="false">IF($A15="","",IF('1-Turizm Rehberliği'!C12="","",'1-Turizm Rehberliği'!C12))</f>
        <v/>
      </c>
      <c r="E15" s="28" t="str">
        <f aca="false">IF($A15="","",$A15&amp;"-"&amp;$D15)</f>
        <v/>
      </c>
      <c r="F15" s="28" t="str">
        <f aca="false">IF($A15="","",IF('1-Turizm Rehberliği'!D12="","",'1-Turizm Rehberliği'!D12))</f>
        <v/>
      </c>
      <c r="G15" s="28" t="str">
        <f aca="false">IF($A15="","",IF('1-Turizm Rehberliği'!E12="","",'1-Turizm Rehberliği'!E12))</f>
        <v/>
      </c>
      <c r="H15" s="28" t="str">
        <f aca="false">IF($A15="","",IF('1-Turizm Rehberliği'!F12="","",'1-Turizm Rehberliği'!F12))</f>
        <v/>
      </c>
      <c r="I15" s="28" t="str">
        <f aca="false">IF($A15="","",IF('1-Turizm Rehberliği'!G12="","",'1-Turizm Rehberliği'!G12))</f>
        <v/>
      </c>
      <c r="J15" s="28" t="str">
        <f aca="false">IF($A15="","",IF('1-Turizm Rehberliği'!H12="","",'1-Turizm Rehberliği'!H12))</f>
        <v/>
      </c>
      <c r="K15" s="28" t="str">
        <f aca="false">IF($A15="","",IF('1-Turizm Rehberliği'!I12="","",'1-Turizm Rehberliği'!I12))</f>
        <v/>
      </c>
      <c r="L15" s="28" t="str">
        <f aca="false">IF($I15="","",MATCH($I15,{"08.00";"09.00";"10.00";"11.00";"12.00";"13.00";"14.00";"15.00";"16.00";"17.00"},0))</f>
        <v/>
      </c>
      <c r="M15" s="28" t="str">
        <f aca="false">IF(OR($L15="",$J15=""),"",$L15+$J15-1)</f>
        <v/>
      </c>
      <c r="N15" s="28" t="str">
        <f aca="false">IF($A15="","",IF(OR($L15="",$M15=""),"",IF($M15&gt;10,"⚠ Saat Taşıyor","")))</f>
        <v/>
      </c>
      <c r="O15" s="28" t="str">
        <f aca="false">IF($A15="","",IF(OR($G15="",$H15="",$L15=""),"",IF(SUMPRODUCT(($A$7:$A$606&lt;&gt;"")*($G$7:$G$606=$G15)*($H$7:$H$606=$H15)*(ROW($A$7:$A$606)&lt;&gt;15)*($L$7:$L$606&lt;=$M15)*($M$7:$M$606&gt;=$L15))&gt;0,"⚠ Çakışma","OK")))</f>
        <v/>
      </c>
      <c r="P15" s="28" t="str">
        <f aca="false">IF($A15="","",IF(OR($K15="",$H15="",$L15=""),"",IF(SUMPRODUCT(($A$7:$A$606&lt;&gt;"")*($K$7:$K$606=$K15)*($H$7:$H$606=$H15)*(ROW($A$7:$A$606)&lt;&gt;15)*($L$7:$L$606&lt;=$M15)*($M$7:$M$606&gt;=$L15))&gt;0,"⚠ Çakışma","OK")))</f>
        <v/>
      </c>
      <c r="Q15" s="28" t="str">
        <f aca="false">IF($A15="","",IF(OR($E15="",$H15="",$L15=""),"",IF(SUMPRODUCT(($A$7:$A$606&lt;&gt;"")*($E$7:$E$606=$E15)*($H$7:$H$606=$H15)*(ROW($A$7:$A$606)&lt;&gt;15)*($L$7:$L$606&lt;=$M15)*($M$7:$M$606&gt;=$L15))&gt;0,"⚠ Çakışma","OK")))</f>
        <v/>
      </c>
      <c r="R15" s="28" t="str">
        <f aca="false">IF($A15="","",IF(OR($N15&lt;&gt;"",$O15="⚠ Çakışma",$P15="⚠ Çakışma",$Q15="⚠ Çakışma"),"⚠ Kontrol Et","✓ Uygun"))</f>
        <v/>
      </c>
    </row>
    <row r="16" customFormat="false" ht="13.5" hidden="false" customHeight="true" outlineLevel="0" collapsed="false">
      <c r="A16" s="28" t="str">
        <f aca="false">IF('1-Turizm Rehberliği'!A13="","","Turizm Rehberliği")</f>
        <v/>
      </c>
      <c r="B16" s="28" t="str">
        <f aca="false">IF($A16="","",IF('1-Turizm Rehberliği'!A13="","",'1-Turizm Rehberliği'!A13))</f>
        <v/>
      </c>
      <c r="C16" s="29" t="str">
        <f aca="false">IF($A16="","",IF('1-Turizm Rehberliği'!B13="","",'1-Turizm Rehberliği'!B13))</f>
        <v/>
      </c>
      <c r="D16" s="28" t="str">
        <f aca="false">IF($A16="","",IF('1-Turizm Rehberliği'!C13="","",'1-Turizm Rehberliği'!C13))</f>
        <v/>
      </c>
      <c r="E16" s="28" t="str">
        <f aca="false">IF($A16="","",$A16&amp;"-"&amp;$D16)</f>
        <v/>
      </c>
      <c r="F16" s="28" t="str">
        <f aca="false">IF($A16="","",IF('1-Turizm Rehberliği'!D13="","",'1-Turizm Rehberliği'!D13))</f>
        <v/>
      </c>
      <c r="G16" s="28" t="str">
        <f aca="false">IF($A16="","",IF('1-Turizm Rehberliği'!E13="","",'1-Turizm Rehberliği'!E13))</f>
        <v/>
      </c>
      <c r="H16" s="28" t="str">
        <f aca="false">IF($A16="","",IF('1-Turizm Rehberliği'!F13="","",'1-Turizm Rehberliği'!F13))</f>
        <v/>
      </c>
      <c r="I16" s="28" t="str">
        <f aca="false">IF($A16="","",IF('1-Turizm Rehberliği'!G13="","",'1-Turizm Rehberliği'!G13))</f>
        <v/>
      </c>
      <c r="J16" s="28" t="str">
        <f aca="false">IF($A16="","",IF('1-Turizm Rehberliği'!H13="","",'1-Turizm Rehberliği'!H13))</f>
        <v/>
      </c>
      <c r="K16" s="28" t="str">
        <f aca="false">IF($A16="","",IF('1-Turizm Rehberliği'!I13="","",'1-Turizm Rehberliği'!I13))</f>
        <v/>
      </c>
      <c r="L16" s="28" t="str">
        <f aca="false">IF($I16="","",MATCH($I16,{"08.00";"09.00";"10.00";"11.00";"12.00";"13.00";"14.00";"15.00";"16.00";"17.00"},0))</f>
        <v/>
      </c>
      <c r="M16" s="28" t="str">
        <f aca="false">IF(OR($L16="",$J16=""),"",$L16+$J16-1)</f>
        <v/>
      </c>
      <c r="N16" s="28" t="str">
        <f aca="false">IF($A16="","",IF(OR($L16="",$M16=""),"",IF($M16&gt;10,"⚠ Saat Taşıyor","")))</f>
        <v/>
      </c>
      <c r="O16" s="28" t="str">
        <f aca="false">IF($A16="","",IF(OR($G16="",$H16="",$L16=""),"",IF(SUMPRODUCT(($A$7:$A$606&lt;&gt;"")*($G$7:$G$606=$G16)*($H$7:$H$606=$H16)*(ROW($A$7:$A$606)&lt;&gt;16)*($L$7:$L$606&lt;=$M16)*($M$7:$M$606&gt;=$L16))&gt;0,"⚠ Çakışma","OK")))</f>
        <v/>
      </c>
      <c r="P16" s="28" t="str">
        <f aca="false">IF($A16="","",IF(OR($K16="",$H16="",$L16=""),"",IF(SUMPRODUCT(($A$7:$A$606&lt;&gt;"")*($K$7:$K$606=$K16)*($H$7:$H$606=$H16)*(ROW($A$7:$A$606)&lt;&gt;16)*($L$7:$L$606&lt;=$M16)*($M$7:$M$606&gt;=$L16))&gt;0,"⚠ Çakışma","OK")))</f>
        <v/>
      </c>
      <c r="Q16" s="28" t="str">
        <f aca="false">IF($A16="","",IF(OR($E16="",$H16="",$L16=""),"",IF(SUMPRODUCT(($A$7:$A$606&lt;&gt;"")*($E$7:$E$606=$E16)*($H$7:$H$606=$H16)*(ROW($A$7:$A$606)&lt;&gt;16)*($L$7:$L$606&lt;=$M16)*($M$7:$M$606&gt;=$L16))&gt;0,"⚠ Çakışma","OK")))</f>
        <v/>
      </c>
      <c r="R16" s="28" t="str">
        <f aca="false">IF($A16="","",IF(OR($N16&lt;&gt;"",$O16="⚠ Çakışma",$P16="⚠ Çakışma",$Q16="⚠ Çakışma"),"⚠ Kontrol Et","✓ Uygun"))</f>
        <v/>
      </c>
    </row>
    <row r="17" customFormat="false" ht="13.5" hidden="false" customHeight="true" outlineLevel="0" collapsed="false">
      <c r="A17" s="28" t="str">
        <f aca="false">IF('1-Turizm Rehberliği'!A14="","","Turizm Rehberliği")</f>
        <v/>
      </c>
      <c r="B17" s="28" t="str">
        <f aca="false">IF($A17="","",IF('1-Turizm Rehberliği'!A14="","",'1-Turizm Rehberliği'!A14))</f>
        <v/>
      </c>
      <c r="C17" s="29" t="str">
        <f aca="false">IF($A17="","",IF('1-Turizm Rehberliği'!B14="","",'1-Turizm Rehberliği'!B14))</f>
        <v/>
      </c>
      <c r="D17" s="28" t="str">
        <f aca="false">IF($A17="","",IF('1-Turizm Rehberliği'!C14="","",'1-Turizm Rehberliği'!C14))</f>
        <v/>
      </c>
      <c r="E17" s="28" t="str">
        <f aca="false">IF($A17="","",$A17&amp;"-"&amp;$D17)</f>
        <v/>
      </c>
      <c r="F17" s="28" t="str">
        <f aca="false">IF($A17="","",IF('1-Turizm Rehberliği'!D14="","",'1-Turizm Rehberliği'!D14))</f>
        <v/>
      </c>
      <c r="G17" s="28" t="str">
        <f aca="false">IF($A17="","",IF('1-Turizm Rehberliği'!E14="","",'1-Turizm Rehberliği'!E14))</f>
        <v/>
      </c>
      <c r="H17" s="28" t="str">
        <f aca="false">IF($A17="","",IF('1-Turizm Rehberliği'!F14="","",'1-Turizm Rehberliği'!F14))</f>
        <v/>
      </c>
      <c r="I17" s="28" t="str">
        <f aca="false">IF($A17="","",IF('1-Turizm Rehberliği'!G14="","",'1-Turizm Rehberliği'!G14))</f>
        <v/>
      </c>
      <c r="J17" s="28" t="str">
        <f aca="false">IF($A17="","",IF('1-Turizm Rehberliği'!H14="","",'1-Turizm Rehberliği'!H14))</f>
        <v/>
      </c>
      <c r="K17" s="28" t="str">
        <f aca="false">IF($A17="","",IF('1-Turizm Rehberliği'!I14="","",'1-Turizm Rehberliği'!I14))</f>
        <v/>
      </c>
      <c r="L17" s="28" t="str">
        <f aca="false">IF($I17="","",MATCH($I17,{"08.00";"09.00";"10.00";"11.00";"12.00";"13.00";"14.00";"15.00";"16.00";"17.00"},0))</f>
        <v/>
      </c>
      <c r="M17" s="28" t="str">
        <f aca="false">IF(OR($L17="",$J17=""),"",$L17+$J17-1)</f>
        <v/>
      </c>
      <c r="N17" s="28" t="str">
        <f aca="false">IF($A17="","",IF(OR($L17="",$M17=""),"",IF($M17&gt;10,"⚠ Saat Taşıyor","")))</f>
        <v/>
      </c>
      <c r="O17" s="28" t="str">
        <f aca="false">IF($A17="","",IF(OR($G17="",$H17="",$L17=""),"",IF(SUMPRODUCT(($A$7:$A$606&lt;&gt;"")*($G$7:$G$606=$G17)*($H$7:$H$606=$H17)*(ROW($A$7:$A$606)&lt;&gt;17)*($L$7:$L$606&lt;=$M17)*($M$7:$M$606&gt;=$L17))&gt;0,"⚠ Çakışma","OK")))</f>
        <v/>
      </c>
      <c r="P17" s="28" t="str">
        <f aca="false">IF($A17="","",IF(OR($K17="",$H17="",$L17=""),"",IF(SUMPRODUCT(($A$7:$A$606&lt;&gt;"")*($K$7:$K$606=$K17)*($H$7:$H$606=$H17)*(ROW($A$7:$A$606)&lt;&gt;17)*($L$7:$L$606&lt;=$M17)*($M$7:$M$606&gt;=$L17))&gt;0,"⚠ Çakışma","OK")))</f>
        <v/>
      </c>
      <c r="Q17" s="28" t="str">
        <f aca="false">IF($A17="","",IF(OR($E17="",$H17="",$L17=""),"",IF(SUMPRODUCT(($A$7:$A$606&lt;&gt;"")*($E$7:$E$606=$E17)*($H$7:$H$606=$H17)*(ROW($A$7:$A$606)&lt;&gt;17)*($L$7:$L$606&lt;=$M17)*($M$7:$M$606&gt;=$L17))&gt;0,"⚠ Çakışma","OK")))</f>
        <v/>
      </c>
      <c r="R17" s="28" t="str">
        <f aca="false">IF($A17="","",IF(OR($N17&lt;&gt;"",$O17="⚠ Çakışma",$P17="⚠ Çakışma",$Q17="⚠ Çakışma"),"⚠ Kontrol Et","✓ Uygun"))</f>
        <v/>
      </c>
    </row>
    <row r="18" customFormat="false" ht="13.5" hidden="false" customHeight="true" outlineLevel="0" collapsed="false">
      <c r="A18" s="28" t="str">
        <f aca="false">IF('1-Turizm Rehberliği'!A15="","","Turizm Rehberliği")</f>
        <v/>
      </c>
      <c r="B18" s="28" t="str">
        <f aca="false">IF($A18="","",IF('1-Turizm Rehberliği'!A15="","",'1-Turizm Rehberliği'!A15))</f>
        <v/>
      </c>
      <c r="C18" s="29" t="str">
        <f aca="false">IF($A18="","",IF('1-Turizm Rehberliği'!B15="","",'1-Turizm Rehberliği'!B15))</f>
        <v/>
      </c>
      <c r="D18" s="28" t="str">
        <f aca="false">IF($A18="","",IF('1-Turizm Rehberliği'!C15="","",'1-Turizm Rehberliği'!C15))</f>
        <v/>
      </c>
      <c r="E18" s="28" t="str">
        <f aca="false">IF($A18="","",$A18&amp;"-"&amp;$D18)</f>
        <v/>
      </c>
      <c r="F18" s="28" t="str">
        <f aca="false">IF($A18="","",IF('1-Turizm Rehberliği'!D15="","",'1-Turizm Rehberliği'!D15))</f>
        <v/>
      </c>
      <c r="G18" s="28" t="str">
        <f aca="false">IF($A18="","",IF('1-Turizm Rehberliği'!E15="","",'1-Turizm Rehberliği'!E15))</f>
        <v/>
      </c>
      <c r="H18" s="28" t="str">
        <f aca="false">IF($A18="","",IF('1-Turizm Rehberliği'!F15="","",'1-Turizm Rehberliği'!F15))</f>
        <v/>
      </c>
      <c r="I18" s="28" t="str">
        <f aca="false">IF($A18="","",IF('1-Turizm Rehberliği'!G15="","",'1-Turizm Rehberliği'!G15))</f>
        <v/>
      </c>
      <c r="J18" s="28" t="str">
        <f aca="false">IF($A18="","",IF('1-Turizm Rehberliği'!H15="","",'1-Turizm Rehberliği'!H15))</f>
        <v/>
      </c>
      <c r="K18" s="28" t="str">
        <f aca="false">IF($A18="","",IF('1-Turizm Rehberliği'!I15="","",'1-Turizm Rehberliği'!I15))</f>
        <v/>
      </c>
      <c r="L18" s="28" t="str">
        <f aca="false">IF($I18="","",MATCH($I18,{"08.00";"09.00";"10.00";"11.00";"12.00";"13.00";"14.00";"15.00";"16.00";"17.00"},0))</f>
        <v/>
      </c>
      <c r="M18" s="28" t="str">
        <f aca="false">IF(OR($L18="",$J18=""),"",$L18+$J18-1)</f>
        <v/>
      </c>
      <c r="N18" s="28" t="str">
        <f aca="false">IF($A18="","",IF(OR($L18="",$M18=""),"",IF($M18&gt;10,"⚠ Saat Taşıyor","")))</f>
        <v/>
      </c>
      <c r="O18" s="28" t="str">
        <f aca="false">IF($A18="","",IF(OR($G18="",$H18="",$L18=""),"",IF(SUMPRODUCT(($A$7:$A$606&lt;&gt;"")*($G$7:$G$606=$G18)*($H$7:$H$606=$H18)*(ROW($A$7:$A$606)&lt;&gt;18)*($L$7:$L$606&lt;=$M18)*($M$7:$M$606&gt;=$L18))&gt;0,"⚠ Çakışma","OK")))</f>
        <v/>
      </c>
      <c r="P18" s="28" t="str">
        <f aca="false">IF($A18="","",IF(OR($K18="",$H18="",$L18=""),"",IF(SUMPRODUCT(($A$7:$A$606&lt;&gt;"")*($K$7:$K$606=$K18)*($H$7:$H$606=$H18)*(ROW($A$7:$A$606)&lt;&gt;18)*($L$7:$L$606&lt;=$M18)*($M$7:$M$606&gt;=$L18))&gt;0,"⚠ Çakışma","OK")))</f>
        <v/>
      </c>
      <c r="Q18" s="28" t="str">
        <f aca="false">IF($A18="","",IF(OR($E18="",$H18="",$L18=""),"",IF(SUMPRODUCT(($A$7:$A$606&lt;&gt;"")*($E$7:$E$606=$E18)*($H$7:$H$606=$H18)*(ROW($A$7:$A$606)&lt;&gt;18)*($L$7:$L$606&lt;=$M18)*($M$7:$M$606&gt;=$L18))&gt;0,"⚠ Çakışma","OK")))</f>
        <v/>
      </c>
      <c r="R18" s="28" t="str">
        <f aca="false">IF($A18="","",IF(OR($N18&lt;&gt;"",$O18="⚠ Çakışma",$P18="⚠ Çakışma",$Q18="⚠ Çakışma"),"⚠ Kontrol Et","✓ Uygun"))</f>
        <v/>
      </c>
    </row>
    <row r="19" customFormat="false" ht="13.5" hidden="false" customHeight="true" outlineLevel="0" collapsed="false">
      <c r="A19" s="28" t="str">
        <f aca="false">IF('1-Turizm Rehberliği'!A16="","","Turizm Rehberliği")</f>
        <v/>
      </c>
      <c r="B19" s="28" t="str">
        <f aca="false">IF($A19="","",IF('1-Turizm Rehberliği'!A16="","",'1-Turizm Rehberliği'!A16))</f>
        <v/>
      </c>
      <c r="C19" s="29" t="str">
        <f aca="false">IF($A19="","",IF('1-Turizm Rehberliği'!B16="","",'1-Turizm Rehberliği'!B16))</f>
        <v/>
      </c>
      <c r="D19" s="28" t="str">
        <f aca="false">IF($A19="","",IF('1-Turizm Rehberliği'!C16="","",'1-Turizm Rehberliği'!C16))</f>
        <v/>
      </c>
      <c r="E19" s="28" t="str">
        <f aca="false">IF($A19="","",$A19&amp;"-"&amp;$D19)</f>
        <v/>
      </c>
      <c r="F19" s="28" t="str">
        <f aca="false">IF($A19="","",IF('1-Turizm Rehberliği'!D16="","",'1-Turizm Rehberliği'!D16))</f>
        <v/>
      </c>
      <c r="G19" s="28" t="str">
        <f aca="false">IF($A19="","",IF('1-Turizm Rehberliği'!E16="","",'1-Turizm Rehberliği'!E16))</f>
        <v/>
      </c>
      <c r="H19" s="28" t="str">
        <f aca="false">IF($A19="","",IF('1-Turizm Rehberliği'!F16="","",'1-Turizm Rehberliği'!F16))</f>
        <v/>
      </c>
      <c r="I19" s="28" t="str">
        <f aca="false">IF($A19="","",IF('1-Turizm Rehberliği'!G16="","",'1-Turizm Rehberliği'!G16))</f>
        <v/>
      </c>
      <c r="J19" s="28" t="str">
        <f aca="false">IF($A19="","",IF('1-Turizm Rehberliği'!H16="","",'1-Turizm Rehberliği'!H16))</f>
        <v/>
      </c>
      <c r="K19" s="28" t="str">
        <f aca="false">IF($A19="","",IF('1-Turizm Rehberliği'!I16="","",'1-Turizm Rehberliği'!I16))</f>
        <v/>
      </c>
      <c r="L19" s="28" t="str">
        <f aca="false">IF($I19="","",MATCH($I19,{"08.00";"09.00";"10.00";"11.00";"12.00";"13.00";"14.00";"15.00";"16.00";"17.00"},0))</f>
        <v/>
      </c>
      <c r="M19" s="28" t="str">
        <f aca="false">IF(OR($L19="",$J19=""),"",$L19+$J19-1)</f>
        <v/>
      </c>
      <c r="N19" s="28" t="str">
        <f aca="false">IF($A19="","",IF(OR($L19="",$M19=""),"",IF($M19&gt;10,"⚠ Saat Taşıyor","")))</f>
        <v/>
      </c>
      <c r="O19" s="28" t="str">
        <f aca="false">IF($A19="","",IF(OR($G19="",$H19="",$L19=""),"",IF(SUMPRODUCT(($A$7:$A$606&lt;&gt;"")*($G$7:$G$606=$G19)*($H$7:$H$606=$H19)*(ROW($A$7:$A$606)&lt;&gt;19)*($L$7:$L$606&lt;=$M19)*($M$7:$M$606&gt;=$L19))&gt;0,"⚠ Çakışma","OK")))</f>
        <v/>
      </c>
      <c r="P19" s="28" t="str">
        <f aca="false">IF($A19="","",IF(OR($K19="",$H19="",$L19=""),"",IF(SUMPRODUCT(($A$7:$A$606&lt;&gt;"")*($K$7:$K$606=$K19)*($H$7:$H$606=$H19)*(ROW($A$7:$A$606)&lt;&gt;19)*($L$7:$L$606&lt;=$M19)*($M$7:$M$606&gt;=$L19))&gt;0,"⚠ Çakışma","OK")))</f>
        <v/>
      </c>
      <c r="Q19" s="28" t="str">
        <f aca="false">IF($A19="","",IF(OR($E19="",$H19="",$L19=""),"",IF(SUMPRODUCT(($A$7:$A$606&lt;&gt;"")*($E$7:$E$606=$E19)*($H$7:$H$606=$H19)*(ROW($A$7:$A$606)&lt;&gt;19)*($L$7:$L$606&lt;=$M19)*($M$7:$M$606&gt;=$L19))&gt;0,"⚠ Çakışma","OK")))</f>
        <v/>
      </c>
      <c r="R19" s="28" t="str">
        <f aca="false">IF($A19="","",IF(OR($N19&lt;&gt;"",$O19="⚠ Çakışma",$P19="⚠ Çakışma",$Q19="⚠ Çakışma"),"⚠ Kontrol Et","✓ Uygun"))</f>
        <v/>
      </c>
    </row>
    <row r="20" customFormat="false" ht="13.5" hidden="false" customHeight="true" outlineLevel="0" collapsed="false">
      <c r="A20" s="28" t="str">
        <f aca="false">IF('1-Turizm Rehberliği'!A17="","","Turizm Rehberliği")</f>
        <v/>
      </c>
      <c r="B20" s="28" t="str">
        <f aca="false">IF($A20="","",IF('1-Turizm Rehberliği'!A17="","",'1-Turizm Rehberliği'!A17))</f>
        <v/>
      </c>
      <c r="C20" s="29" t="str">
        <f aca="false">IF($A20="","",IF('1-Turizm Rehberliği'!B17="","",'1-Turizm Rehberliği'!B17))</f>
        <v/>
      </c>
      <c r="D20" s="28" t="str">
        <f aca="false">IF($A20="","",IF('1-Turizm Rehberliği'!C17="","",'1-Turizm Rehberliği'!C17))</f>
        <v/>
      </c>
      <c r="E20" s="28" t="str">
        <f aca="false">IF($A20="","",$A20&amp;"-"&amp;$D20)</f>
        <v/>
      </c>
      <c r="F20" s="28" t="str">
        <f aca="false">IF($A20="","",IF('1-Turizm Rehberliği'!D17="","",'1-Turizm Rehberliği'!D17))</f>
        <v/>
      </c>
      <c r="G20" s="28" t="str">
        <f aca="false">IF($A20="","",IF('1-Turizm Rehberliği'!E17="","",'1-Turizm Rehberliği'!E17))</f>
        <v/>
      </c>
      <c r="H20" s="28" t="str">
        <f aca="false">IF($A20="","",IF('1-Turizm Rehberliği'!F17="","",'1-Turizm Rehberliği'!F17))</f>
        <v/>
      </c>
      <c r="I20" s="28" t="str">
        <f aca="false">IF($A20="","",IF('1-Turizm Rehberliği'!G17="","",'1-Turizm Rehberliği'!G17))</f>
        <v/>
      </c>
      <c r="J20" s="28" t="str">
        <f aca="false">IF($A20="","",IF('1-Turizm Rehberliği'!H17="","",'1-Turizm Rehberliği'!H17))</f>
        <v/>
      </c>
      <c r="K20" s="28" t="str">
        <f aca="false">IF($A20="","",IF('1-Turizm Rehberliği'!I17="","",'1-Turizm Rehberliği'!I17))</f>
        <v/>
      </c>
      <c r="L20" s="28" t="str">
        <f aca="false">IF($I20="","",MATCH($I20,{"08.00";"09.00";"10.00";"11.00";"12.00";"13.00";"14.00";"15.00";"16.00";"17.00"},0))</f>
        <v/>
      </c>
      <c r="M20" s="28" t="str">
        <f aca="false">IF(OR($L20="",$J20=""),"",$L20+$J20-1)</f>
        <v/>
      </c>
      <c r="N20" s="28" t="str">
        <f aca="false">IF($A20="","",IF(OR($L20="",$M20=""),"",IF($M20&gt;10,"⚠ Saat Taşıyor","")))</f>
        <v/>
      </c>
      <c r="O20" s="28" t="str">
        <f aca="false">IF($A20="","",IF(OR($G20="",$H20="",$L20=""),"",IF(SUMPRODUCT(($A$7:$A$606&lt;&gt;"")*($G$7:$G$606=$G20)*($H$7:$H$606=$H20)*(ROW($A$7:$A$606)&lt;&gt;20)*($L$7:$L$606&lt;=$M20)*($M$7:$M$606&gt;=$L20))&gt;0,"⚠ Çakışma","OK")))</f>
        <v/>
      </c>
      <c r="P20" s="28" t="str">
        <f aca="false">IF($A20="","",IF(OR($K20="",$H20="",$L20=""),"",IF(SUMPRODUCT(($A$7:$A$606&lt;&gt;"")*($K$7:$K$606=$K20)*($H$7:$H$606=$H20)*(ROW($A$7:$A$606)&lt;&gt;20)*($L$7:$L$606&lt;=$M20)*($M$7:$M$606&gt;=$L20))&gt;0,"⚠ Çakışma","OK")))</f>
        <v/>
      </c>
      <c r="Q20" s="28" t="str">
        <f aca="false">IF($A20="","",IF(OR($E20="",$H20="",$L20=""),"",IF(SUMPRODUCT(($A$7:$A$606&lt;&gt;"")*($E$7:$E$606=$E20)*($H$7:$H$606=$H20)*(ROW($A$7:$A$606)&lt;&gt;20)*($L$7:$L$606&lt;=$M20)*($M$7:$M$606&gt;=$L20))&gt;0,"⚠ Çakışma","OK")))</f>
        <v/>
      </c>
      <c r="R20" s="28" t="str">
        <f aca="false">IF($A20="","",IF(OR($N20&lt;&gt;"",$O20="⚠ Çakışma",$P20="⚠ Çakışma",$Q20="⚠ Çakışma"),"⚠ Kontrol Et","✓ Uygun"))</f>
        <v/>
      </c>
    </row>
    <row r="21" customFormat="false" ht="13.5" hidden="false" customHeight="true" outlineLevel="0" collapsed="false">
      <c r="A21" s="28" t="str">
        <f aca="false">IF('1-Turizm Rehberliği'!A18="","","Turizm Rehberliği")</f>
        <v/>
      </c>
      <c r="B21" s="28" t="str">
        <f aca="false">IF($A21="","",IF('1-Turizm Rehberliği'!A18="","",'1-Turizm Rehberliği'!A18))</f>
        <v/>
      </c>
      <c r="C21" s="29" t="str">
        <f aca="false">IF($A21="","",IF('1-Turizm Rehberliği'!B18="","",'1-Turizm Rehberliği'!B18))</f>
        <v/>
      </c>
      <c r="D21" s="28" t="str">
        <f aca="false">IF($A21="","",IF('1-Turizm Rehberliği'!C18="","",'1-Turizm Rehberliği'!C18))</f>
        <v/>
      </c>
      <c r="E21" s="28" t="str">
        <f aca="false">IF($A21="","",$A21&amp;"-"&amp;$D21)</f>
        <v/>
      </c>
      <c r="F21" s="28" t="str">
        <f aca="false">IF($A21="","",IF('1-Turizm Rehberliği'!D18="","",'1-Turizm Rehberliği'!D18))</f>
        <v/>
      </c>
      <c r="G21" s="28" t="str">
        <f aca="false">IF($A21="","",IF('1-Turizm Rehberliği'!E18="","",'1-Turizm Rehberliği'!E18))</f>
        <v/>
      </c>
      <c r="H21" s="28" t="str">
        <f aca="false">IF($A21="","",IF('1-Turizm Rehberliği'!F18="","",'1-Turizm Rehberliği'!F18))</f>
        <v/>
      </c>
      <c r="I21" s="28" t="str">
        <f aca="false">IF($A21="","",IF('1-Turizm Rehberliği'!G18="","",'1-Turizm Rehberliği'!G18))</f>
        <v/>
      </c>
      <c r="J21" s="28" t="str">
        <f aca="false">IF($A21="","",IF('1-Turizm Rehberliği'!H18="","",'1-Turizm Rehberliği'!H18))</f>
        <v/>
      </c>
      <c r="K21" s="28" t="str">
        <f aca="false">IF($A21="","",IF('1-Turizm Rehberliği'!I18="","",'1-Turizm Rehberliği'!I18))</f>
        <v/>
      </c>
      <c r="L21" s="28" t="str">
        <f aca="false">IF($I21="","",MATCH($I21,{"08.00";"09.00";"10.00";"11.00";"12.00";"13.00";"14.00";"15.00";"16.00";"17.00"},0))</f>
        <v/>
      </c>
      <c r="M21" s="28" t="str">
        <f aca="false">IF(OR($L21="",$J21=""),"",$L21+$J21-1)</f>
        <v/>
      </c>
      <c r="N21" s="28" t="str">
        <f aca="false">IF($A21="","",IF(OR($L21="",$M21=""),"",IF($M21&gt;10,"⚠ Saat Taşıyor","")))</f>
        <v/>
      </c>
      <c r="O21" s="28" t="str">
        <f aca="false">IF($A21="","",IF(OR($G21="",$H21="",$L21=""),"",IF(SUMPRODUCT(($A$7:$A$606&lt;&gt;"")*($G$7:$G$606=$G21)*($H$7:$H$606=$H21)*(ROW($A$7:$A$606)&lt;&gt;21)*($L$7:$L$606&lt;=$M21)*($M$7:$M$606&gt;=$L21))&gt;0,"⚠ Çakışma","OK")))</f>
        <v/>
      </c>
      <c r="P21" s="28" t="str">
        <f aca="false">IF($A21="","",IF(OR($K21="",$H21="",$L21=""),"",IF(SUMPRODUCT(($A$7:$A$606&lt;&gt;"")*($K$7:$K$606=$K21)*($H$7:$H$606=$H21)*(ROW($A$7:$A$606)&lt;&gt;21)*($L$7:$L$606&lt;=$M21)*($M$7:$M$606&gt;=$L21))&gt;0,"⚠ Çakışma","OK")))</f>
        <v/>
      </c>
      <c r="Q21" s="28" t="str">
        <f aca="false">IF($A21="","",IF(OR($E21="",$H21="",$L21=""),"",IF(SUMPRODUCT(($A$7:$A$606&lt;&gt;"")*($E$7:$E$606=$E21)*($H$7:$H$606=$H21)*(ROW($A$7:$A$606)&lt;&gt;21)*($L$7:$L$606&lt;=$M21)*($M$7:$M$606&gt;=$L21))&gt;0,"⚠ Çakışma","OK")))</f>
        <v/>
      </c>
      <c r="R21" s="28" t="str">
        <f aca="false">IF($A21="","",IF(OR($N21&lt;&gt;"",$O21="⚠ Çakışma",$P21="⚠ Çakışma",$Q21="⚠ Çakışma"),"⚠ Kontrol Et","✓ Uygun"))</f>
        <v/>
      </c>
    </row>
    <row r="22" customFormat="false" ht="13.5" hidden="false" customHeight="true" outlineLevel="0" collapsed="false">
      <c r="A22" s="28" t="str">
        <f aca="false">IF('1-Turizm Rehberliği'!A19="","","Turizm Rehberliği")</f>
        <v/>
      </c>
      <c r="B22" s="28" t="str">
        <f aca="false">IF($A22="","",IF('1-Turizm Rehberliği'!A19="","",'1-Turizm Rehberliği'!A19))</f>
        <v/>
      </c>
      <c r="C22" s="29" t="str">
        <f aca="false">IF($A22="","",IF('1-Turizm Rehberliği'!B19="","",'1-Turizm Rehberliği'!B19))</f>
        <v/>
      </c>
      <c r="D22" s="28" t="str">
        <f aca="false">IF($A22="","",IF('1-Turizm Rehberliği'!C19="","",'1-Turizm Rehberliği'!C19))</f>
        <v/>
      </c>
      <c r="E22" s="28" t="str">
        <f aca="false">IF($A22="","",$A22&amp;"-"&amp;$D22)</f>
        <v/>
      </c>
      <c r="F22" s="28" t="str">
        <f aca="false">IF($A22="","",IF('1-Turizm Rehberliği'!D19="","",'1-Turizm Rehberliği'!D19))</f>
        <v/>
      </c>
      <c r="G22" s="28" t="str">
        <f aca="false">IF($A22="","",IF('1-Turizm Rehberliği'!E19="","",'1-Turizm Rehberliği'!E19))</f>
        <v/>
      </c>
      <c r="H22" s="28" t="str">
        <f aca="false">IF($A22="","",IF('1-Turizm Rehberliği'!F19="","",'1-Turizm Rehberliği'!F19))</f>
        <v/>
      </c>
      <c r="I22" s="28" t="str">
        <f aca="false">IF($A22="","",IF('1-Turizm Rehberliği'!G19="","",'1-Turizm Rehberliği'!G19))</f>
        <v/>
      </c>
      <c r="J22" s="28" t="str">
        <f aca="false">IF($A22="","",IF('1-Turizm Rehberliği'!H19="","",'1-Turizm Rehberliği'!H19))</f>
        <v/>
      </c>
      <c r="K22" s="28" t="str">
        <f aca="false">IF($A22="","",IF('1-Turizm Rehberliği'!I19="","",'1-Turizm Rehberliği'!I19))</f>
        <v/>
      </c>
      <c r="L22" s="28" t="str">
        <f aca="false">IF($I22="","",MATCH($I22,{"08.00";"09.00";"10.00";"11.00";"12.00";"13.00";"14.00";"15.00";"16.00";"17.00"},0))</f>
        <v/>
      </c>
      <c r="M22" s="28" t="str">
        <f aca="false">IF(OR($L22="",$J22=""),"",$L22+$J22-1)</f>
        <v/>
      </c>
      <c r="N22" s="28" t="str">
        <f aca="false">IF($A22="","",IF(OR($L22="",$M22=""),"",IF($M22&gt;10,"⚠ Saat Taşıyor","")))</f>
        <v/>
      </c>
      <c r="O22" s="28" t="str">
        <f aca="false">IF($A22="","",IF(OR($G22="",$H22="",$L22=""),"",IF(SUMPRODUCT(($A$7:$A$606&lt;&gt;"")*($G$7:$G$606=$G22)*($H$7:$H$606=$H22)*(ROW($A$7:$A$606)&lt;&gt;22)*($L$7:$L$606&lt;=$M22)*($M$7:$M$606&gt;=$L22))&gt;0,"⚠ Çakışma","OK")))</f>
        <v/>
      </c>
      <c r="P22" s="28" t="str">
        <f aca="false">IF($A22="","",IF(OR($K22="",$H22="",$L22=""),"",IF(SUMPRODUCT(($A$7:$A$606&lt;&gt;"")*($K$7:$K$606=$K22)*($H$7:$H$606=$H22)*(ROW($A$7:$A$606)&lt;&gt;22)*($L$7:$L$606&lt;=$M22)*($M$7:$M$606&gt;=$L22))&gt;0,"⚠ Çakışma","OK")))</f>
        <v/>
      </c>
      <c r="Q22" s="28" t="str">
        <f aca="false">IF($A22="","",IF(OR($E22="",$H22="",$L22=""),"",IF(SUMPRODUCT(($A$7:$A$606&lt;&gt;"")*($E$7:$E$606=$E22)*($H$7:$H$606=$H22)*(ROW($A$7:$A$606)&lt;&gt;22)*($L$7:$L$606&lt;=$M22)*($M$7:$M$606&gt;=$L22))&gt;0,"⚠ Çakışma","OK")))</f>
        <v/>
      </c>
      <c r="R22" s="28" t="str">
        <f aca="false">IF($A22="","",IF(OR($N22&lt;&gt;"",$O22="⚠ Çakışma",$P22="⚠ Çakışma",$Q22="⚠ Çakışma"),"⚠ Kontrol Et","✓ Uygun"))</f>
        <v/>
      </c>
    </row>
    <row r="23" customFormat="false" ht="13.5" hidden="false" customHeight="true" outlineLevel="0" collapsed="false">
      <c r="A23" s="28" t="str">
        <f aca="false">IF('1-Turizm Rehberliği'!A20="","","Turizm Rehberliği")</f>
        <v/>
      </c>
      <c r="B23" s="28" t="str">
        <f aca="false">IF($A23="","",IF('1-Turizm Rehberliği'!A20="","",'1-Turizm Rehberliği'!A20))</f>
        <v/>
      </c>
      <c r="C23" s="29" t="str">
        <f aca="false">IF($A23="","",IF('1-Turizm Rehberliği'!B20="","",'1-Turizm Rehberliği'!B20))</f>
        <v/>
      </c>
      <c r="D23" s="28" t="str">
        <f aca="false">IF($A23="","",IF('1-Turizm Rehberliği'!C20="","",'1-Turizm Rehberliği'!C20))</f>
        <v/>
      </c>
      <c r="E23" s="28" t="str">
        <f aca="false">IF($A23="","",$A23&amp;"-"&amp;$D23)</f>
        <v/>
      </c>
      <c r="F23" s="28" t="str">
        <f aca="false">IF($A23="","",IF('1-Turizm Rehberliği'!D20="","",'1-Turizm Rehberliği'!D20))</f>
        <v/>
      </c>
      <c r="G23" s="28" t="str">
        <f aca="false">IF($A23="","",IF('1-Turizm Rehberliği'!E20="","",'1-Turizm Rehberliği'!E20))</f>
        <v/>
      </c>
      <c r="H23" s="28" t="str">
        <f aca="false">IF($A23="","",IF('1-Turizm Rehberliği'!F20="","",'1-Turizm Rehberliği'!F20))</f>
        <v/>
      </c>
      <c r="I23" s="28" t="str">
        <f aca="false">IF($A23="","",IF('1-Turizm Rehberliği'!G20="","",'1-Turizm Rehberliği'!G20))</f>
        <v/>
      </c>
      <c r="J23" s="28" t="str">
        <f aca="false">IF($A23="","",IF('1-Turizm Rehberliği'!H20="","",'1-Turizm Rehberliği'!H20))</f>
        <v/>
      </c>
      <c r="K23" s="28" t="str">
        <f aca="false">IF($A23="","",IF('1-Turizm Rehberliği'!I20="","",'1-Turizm Rehberliği'!I20))</f>
        <v/>
      </c>
      <c r="L23" s="28" t="str">
        <f aca="false">IF($I23="","",MATCH($I23,{"08.00";"09.00";"10.00";"11.00";"12.00";"13.00";"14.00";"15.00";"16.00";"17.00"},0))</f>
        <v/>
      </c>
      <c r="M23" s="28" t="str">
        <f aca="false">IF(OR($L23="",$J23=""),"",$L23+$J23-1)</f>
        <v/>
      </c>
      <c r="N23" s="28" t="str">
        <f aca="false">IF($A23="","",IF(OR($L23="",$M23=""),"",IF($M23&gt;10,"⚠ Saat Taşıyor","")))</f>
        <v/>
      </c>
      <c r="O23" s="28" t="str">
        <f aca="false">IF($A23="","",IF(OR($G23="",$H23="",$L23=""),"",IF(SUMPRODUCT(($A$7:$A$606&lt;&gt;"")*($G$7:$G$606=$G23)*($H$7:$H$606=$H23)*(ROW($A$7:$A$606)&lt;&gt;23)*($L$7:$L$606&lt;=$M23)*($M$7:$M$606&gt;=$L23))&gt;0,"⚠ Çakışma","OK")))</f>
        <v/>
      </c>
      <c r="P23" s="28" t="str">
        <f aca="false">IF($A23="","",IF(OR($K23="",$H23="",$L23=""),"",IF(SUMPRODUCT(($A$7:$A$606&lt;&gt;"")*($K$7:$K$606=$K23)*($H$7:$H$606=$H23)*(ROW($A$7:$A$606)&lt;&gt;23)*($L$7:$L$606&lt;=$M23)*($M$7:$M$606&gt;=$L23))&gt;0,"⚠ Çakışma","OK")))</f>
        <v/>
      </c>
      <c r="Q23" s="28" t="str">
        <f aca="false">IF($A23="","",IF(OR($E23="",$H23="",$L23=""),"",IF(SUMPRODUCT(($A$7:$A$606&lt;&gt;"")*($E$7:$E$606=$E23)*($H$7:$H$606=$H23)*(ROW($A$7:$A$606)&lt;&gt;23)*($L$7:$L$606&lt;=$M23)*($M$7:$M$606&gt;=$L23))&gt;0,"⚠ Çakışma","OK")))</f>
        <v/>
      </c>
      <c r="R23" s="28" t="str">
        <f aca="false">IF($A23="","",IF(OR($N23&lt;&gt;"",$O23="⚠ Çakışma",$P23="⚠ Çakışma",$Q23="⚠ Çakışma"),"⚠ Kontrol Et","✓ Uygun"))</f>
        <v/>
      </c>
    </row>
    <row r="24" customFormat="false" ht="13.5" hidden="false" customHeight="true" outlineLevel="0" collapsed="false">
      <c r="A24" s="28" t="str">
        <f aca="false">IF('1-Turizm Rehberliği'!A21="","","Turizm Rehberliği")</f>
        <v/>
      </c>
      <c r="B24" s="28" t="str">
        <f aca="false">IF($A24="","",IF('1-Turizm Rehberliği'!A21="","",'1-Turizm Rehberliği'!A21))</f>
        <v/>
      </c>
      <c r="C24" s="29" t="str">
        <f aca="false">IF($A24="","",IF('1-Turizm Rehberliği'!B21="","",'1-Turizm Rehberliği'!B21))</f>
        <v/>
      </c>
      <c r="D24" s="28" t="str">
        <f aca="false">IF($A24="","",IF('1-Turizm Rehberliği'!C21="","",'1-Turizm Rehberliği'!C21))</f>
        <v/>
      </c>
      <c r="E24" s="28" t="str">
        <f aca="false">IF($A24="","",$A24&amp;"-"&amp;$D24)</f>
        <v/>
      </c>
      <c r="F24" s="28" t="str">
        <f aca="false">IF($A24="","",IF('1-Turizm Rehberliği'!D21="","",'1-Turizm Rehberliği'!D21))</f>
        <v/>
      </c>
      <c r="G24" s="28" t="str">
        <f aca="false">IF($A24="","",IF('1-Turizm Rehberliği'!E21="","",'1-Turizm Rehberliği'!E21))</f>
        <v/>
      </c>
      <c r="H24" s="28" t="str">
        <f aca="false">IF($A24="","",IF('1-Turizm Rehberliği'!F21="","",'1-Turizm Rehberliği'!F21))</f>
        <v/>
      </c>
      <c r="I24" s="28" t="str">
        <f aca="false">IF($A24="","",IF('1-Turizm Rehberliği'!G21="","",'1-Turizm Rehberliği'!G21))</f>
        <v/>
      </c>
      <c r="J24" s="28" t="str">
        <f aca="false">IF($A24="","",IF('1-Turizm Rehberliği'!H21="","",'1-Turizm Rehberliği'!H21))</f>
        <v/>
      </c>
      <c r="K24" s="28" t="str">
        <f aca="false">IF($A24="","",IF('1-Turizm Rehberliği'!I21="","",'1-Turizm Rehberliği'!I21))</f>
        <v/>
      </c>
      <c r="L24" s="28" t="str">
        <f aca="false">IF($I24="","",MATCH($I24,{"08.00";"09.00";"10.00";"11.00";"12.00";"13.00";"14.00";"15.00";"16.00";"17.00"},0))</f>
        <v/>
      </c>
      <c r="M24" s="28" t="str">
        <f aca="false">IF(OR($L24="",$J24=""),"",$L24+$J24-1)</f>
        <v/>
      </c>
      <c r="N24" s="28" t="str">
        <f aca="false">IF($A24="","",IF(OR($L24="",$M24=""),"",IF($M24&gt;10,"⚠ Saat Taşıyor","")))</f>
        <v/>
      </c>
      <c r="O24" s="28" t="str">
        <f aca="false">IF($A24="","",IF(OR($G24="",$H24="",$L24=""),"",IF(SUMPRODUCT(($A$7:$A$606&lt;&gt;"")*($G$7:$G$606=$G24)*($H$7:$H$606=$H24)*(ROW($A$7:$A$606)&lt;&gt;24)*($L$7:$L$606&lt;=$M24)*($M$7:$M$606&gt;=$L24))&gt;0,"⚠ Çakışma","OK")))</f>
        <v/>
      </c>
      <c r="P24" s="28" t="str">
        <f aca="false">IF($A24="","",IF(OR($K24="",$H24="",$L24=""),"",IF(SUMPRODUCT(($A$7:$A$606&lt;&gt;"")*($K$7:$K$606=$K24)*($H$7:$H$606=$H24)*(ROW($A$7:$A$606)&lt;&gt;24)*($L$7:$L$606&lt;=$M24)*($M$7:$M$606&gt;=$L24))&gt;0,"⚠ Çakışma","OK")))</f>
        <v/>
      </c>
      <c r="Q24" s="28" t="str">
        <f aca="false">IF($A24="","",IF(OR($E24="",$H24="",$L24=""),"",IF(SUMPRODUCT(($A$7:$A$606&lt;&gt;"")*($E$7:$E$606=$E24)*($H$7:$H$606=$H24)*(ROW($A$7:$A$606)&lt;&gt;24)*($L$7:$L$606&lt;=$M24)*($M$7:$M$606&gt;=$L24))&gt;0,"⚠ Çakışma","OK")))</f>
        <v/>
      </c>
      <c r="R24" s="28" t="str">
        <f aca="false">IF($A24="","",IF(OR($N24&lt;&gt;"",$O24="⚠ Çakışma",$P24="⚠ Çakışma",$Q24="⚠ Çakışma"),"⚠ Kontrol Et","✓ Uygun"))</f>
        <v/>
      </c>
    </row>
    <row r="25" customFormat="false" ht="13.5" hidden="false" customHeight="true" outlineLevel="0" collapsed="false">
      <c r="A25" s="28" t="str">
        <f aca="false">IF('1-Turizm Rehberliği'!A22="","","Turizm Rehberliği")</f>
        <v/>
      </c>
      <c r="B25" s="28" t="str">
        <f aca="false">IF($A25="","",IF('1-Turizm Rehberliği'!A22="","",'1-Turizm Rehberliği'!A22))</f>
        <v/>
      </c>
      <c r="C25" s="29" t="str">
        <f aca="false">IF($A25="","",IF('1-Turizm Rehberliği'!B22="","",'1-Turizm Rehberliği'!B22))</f>
        <v/>
      </c>
      <c r="D25" s="28" t="str">
        <f aca="false">IF($A25="","",IF('1-Turizm Rehberliği'!C22="","",'1-Turizm Rehberliği'!C22))</f>
        <v/>
      </c>
      <c r="E25" s="28" t="str">
        <f aca="false">IF($A25="","",$A25&amp;"-"&amp;$D25)</f>
        <v/>
      </c>
      <c r="F25" s="28" t="str">
        <f aca="false">IF($A25="","",IF('1-Turizm Rehberliği'!D22="","",'1-Turizm Rehberliği'!D22))</f>
        <v/>
      </c>
      <c r="G25" s="28" t="str">
        <f aca="false">IF($A25="","",IF('1-Turizm Rehberliği'!E22="","",'1-Turizm Rehberliği'!E22))</f>
        <v/>
      </c>
      <c r="H25" s="28" t="str">
        <f aca="false">IF($A25="","",IF('1-Turizm Rehberliği'!F22="","",'1-Turizm Rehberliği'!F22))</f>
        <v/>
      </c>
      <c r="I25" s="28" t="str">
        <f aca="false">IF($A25="","",IF('1-Turizm Rehberliği'!G22="","",'1-Turizm Rehberliği'!G22))</f>
        <v/>
      </c>
      <c r="J25" s="28" t="str">
        <f aca="false">IF($A25="","",IF('1-Turizm Rehberliği'!H22="","",'1-Turizm Rehberliği'!H22))</f>
        <v/>
      </c>
      <c r="K25" s="28" t="str">
        <f aca="false">IF($A25="","",IF('1-Turizm Rehberliği'!I22="","",'1-Turizm Rehberliği'!I22))</f>
        <v/>
      </c>
      <c r="L25" s="28" t="str">
        <f aca="false">IF($I25="","",MATCH($I25,{"08.00";"09.00";"10.00";"11.00";"12.00";"13.00";"14.00";"15.00";"16.00";"17.00"},0))</f>
        <v/>
      </c>
      <c r="M25" s="28" t="str">
        <f aca="false">IF(OR($L25="",$J25=""),"",$L25+$J25-1)</f>
        <v/>
      </c>
      <c r="N25" s="28" t="str">
        <f aca="false">IF($A25="","",IF(OR($L25="",$M25=""),"",IF($M25&gt;10,"⚠ Saat Taşıyor","")))</f>
        <v/>
      </c>
      <c r="O25" s="28" t="str">
        <f aca="false">IF($A25="","",IF(OR($G25="",$H25="",$L25=""),"",IF(SUMPRODUCT(($A$7:$A$606&lt;&gt;"")*($G$7:$G$606=$G25)*($H$7:$H$606=$H25)*(ROW($A$7:$A$606)&lt;&gt;25)*($L$7:$L$606&lt;=$M25)*($M$7:$M$606&gt;=$L25))&gt;0,"⚠ Çakışma","OK")))</f>
        <v/>
      </c>
      <c r="P25" s="28" t="str">
        <f aca="false">IF($A25="","",IF(OR($K25="",$H25="",$L25=""),"",IF(SUMPRODUCT(($A$7:$A$606&lt;&gt;"")*($K$7:$K$606=$K25)*($H$7:$H$606=$H25)*(ROW($A$7:$A$606)&lt;&gt;25)*($L$7:$L$606&lt;=$M25)*($M$7:$M$606&gt;=$L25))&gt;0,"⚠ Çakışma","OK")))</f>
        <v/>
      </c>
      <c r="Q25" s="28" t="str">
        <f aca="false">IF($A25="","",IF(OR($E25="",$H25="",$L25=""),"",IF(SUMPRODUCT(($A$7:$A$606&lt;&gt;"")*($E$7:$E$606=$E25)*($H$7:$H$606=$H25)*(ROW($A$7:$A$606)&lt;&gt;25)*($L$7:$L$606&lt;=$M25)*($M$7:$M$606&gt;=$L25))&gt;0,"⚠ Çakışma","OK")))</f>
        <v/>
      </c>
      <c r="R25" s="28" t="str">
        <f aca="false">IF($A25="","",IF(OR($N25&lt;&gt;"",$O25="⚠ Çakışma",$P25="⚠ Çakışma",$Q25="⚠ Çakışma"),"⚠ Kontrol Et","✓ Uygun"))</f>
        <v/>
      </c>
    </row>
    <row r="26" customFormat="false" ht="13.5" hidden="false" customHeight="true" outlineLevel="0" collapsed="false">
      <c r="A26" s="28" t="str">
        <f aca="false">IF('1-Turizm Rehberliği'!A23="","","Turizm Rehberliği")</f>
        <v/>
      </c>
      <c r="B26" s="28" t="str">
        <f aca="false">IF($A26="","",IF('1-Turizm Rehberliği'!A23="","",'1-Turizm Rehberliği'!A23))</f>
        <v/>
      </c>
      <c r="C26" s="29" t="str">
        <f aca="false">IF($A26="","",IF('1-Turizm Rehberliği'!B23="","",'1-Turizm Rehberliği'!B23))</f>
        <v/>
      </c>
      <c r="D26" s="28" t="str">
        <f aca="false">IF($A26="","",IF('1-Turizm Rehberliği'!C23="","",'1-Turizm Rehberliği'!C23))</f>
        <v/>
      </c>
      <c r="E26" s="28" t="str">
        <f aca="false">IF($A26="","",$A26&amp;"-"&amp;$D26)</f>
        <v/>
      </c>
      <c r="F26" s="28" t="str">
        <f aca="false">IF($A26="","",IF('1-Turizm Rehberliği'!D23="","",'1-Turizm Rehberliği'!D23))</f>
        <v/>
      </c>
      <c r="G26" s="28" t="str">
        <f aca="false">IF($A26="","",IF('1-Turizm Rehberliği'!E23="","",'1-Turizm Rehberliği'!E23))</f>
        <v/>
      </c>
      <c r="H26" s="28" t="str">
        <f aca="false">IF($A26="","",IF('1-Turizm Rehberliği'!F23="","",'1-Turizm Rehberliği'!F23))</f>
        <v/>
      </c>
      <c r="I26" s="28" t="str">
        <f aca="false">IF($A26="","",IF('1-Turizm Rehberliği'!G23="","",'1-Turizm Rehberliği'!G23))</f>
        <v/>
      </c>
      <c r="J26" s="28" t="str">
        <f aca="false">IF($A26="","",IF('1-Turizm Rehberliği'!H23="","",'1-Turizm Rehberliği'!H23))</f>
        <v/>
      </c>
      <c r="K26" s="28" t="str">
        <f aca="false">IF($A26="","",IF('1-Turizm Rehberliği'!I23="","",'1-Turizm Rehberliği'!I23))</f>
        <v/>
      </c>
      <c r="L26" s="28" t="str">
        <f aca="false">IF($I26="","",MATCH($I26,{"08.00";"09.00";"10.00";"11.00";"12.00";"13.00";"14.00";"15.00";"16.00";"17.00"},0))</f>
        <v/>
      </c>
      <c r="M26" s="28" t="str">
        <f aca="false">IF(OR($L26="",$J26=""),"",$L26+$J26-1)</f>
        <v/>
      </c>
      <c r="N26" s="28" t="str">
        <f aca="false">IF($A26="","",IF(OR($L26="",$M26=""),"",IF($M26&gt;10,"⚠ Saat Taşıyor","")))</f>
        <v/>
      </c>
      <c r="O26" s="28" t="str">
        <f aca="false">IF($A26="","",IF(OR($G26="",$H26="",$L26=""),"",IF(SUMPRODUCT(($A$7:$A$606&lt;&gt;"")*($G$7:$G$606=$G26)*($H$7:$H$606=$H26)*(ROW($A$7:$A$606)&lt;&gt;26)*($L$7:$L$606&lt;=$M26)*($M$7:$M$606&gt;=$L26))&gt;0,"⚠ Çakışma","OK")))</f>
        <v/>
      </c>
      <c r="P26" s="28" t="str">
        <f aca="false">IF($A26="","",IF(OR($K26="",$H26="",$L26=""),"",IF(SUMPRODUCT(($A$7:$A$606&lt;&gt;"")*($K$7:$K$606=$K26)*($H$7:$H$606=$H26)*(ROW($A$7:$A$606)&lt;&gt;26)*($L$7:$L$606&lt;=$M26)*($M$7:$M$606&gt;=$L26))&gt;0,"⚠ Çakışma","OK")))</f>
        <v/>
      </c>
      <c r="Q26" s="28" t="str">
        <f aca="false">IF($A26="","",IF(OR($E26="",$H26="",$L26=""),"",IF(SUMPRODUCT(($A$7:$A$606&lt;&gt;"")*($E$7:$E$606=$E26)*($H$7:$H$606=$H26)*(ROW($A$7:$A$606)&lt;&gt;26)*($L$7:$L$606&lt;=$M26)*($M$7:$M$606&gt;=$L26))&gt;0,"⚠ Çakışma","OK")))</f>
        <v/>
      </c>
      <c r="R26" s="28" t="str">
        <f aca="false">IF($A26="","",IF(OR($N26&lt;&gt;"",$O26="⚠ Çakışma",$P26="⚠ Çakışma",$Q26="⚠ Çakışma"),"⚠ Kontrol Et","✓ Uygun"))</f>
        <v/>
      </c>
    </row>
    <row r="27" customFormat="false" ht="13.5" hidden="false" customHeight="true" outlineLevel="0" collapsed="false">
      <c r="A27" s="28" t="str">
        <f aca="false">IF('1-Turizm Rehberliği'!A24="","","Turizm Rehberliği")</f>
        <v/>
      </c>
      <c r="B27" s="28" t="str">
        <f aca="false">IF($A27="","",IF('1-Turizm Rehberliği'!A24="","",'1-Turizm Rehberliği'!A24))</f>
        <v/>
      </c>
      <c r="C27" s="29" t="str">
        <f aca="false">IF($A27="","",IF('1-Turizm Rehberliği'!B24="","",'1-Turizm Rehberliği'!B24))</f>
        <v/>
      </c>
      <c r="D27" s="28" t="str">
        <f aca="false">IF($A27="","",IF('1-Turizm Rehberliği'!C24="","",'1-Turizm Rehberliği'!C24))</f>
        <v/>
      </c>
      <c r="E27" s="28" t="str">
        <f aca="false">IF($A27="","",$A27&amp;"-"&amp;$D27)</f>
        <v/>
      </c>
      <c r="F27" s="28" t="str">
        <f aca="false">IF($A27="","",IF('1-Turizm Rehberliği'!D24="","",'1-Turizm Rehberliği'!D24))</f>
        <v/>
      </c>
      <c r="G27" s="28" t="str">
        <f aca="false">IF($A27="","",IF('1-Turizm Rehberliği'!E24="","",'1-Turizm Rehberliği'!E24))</f>
        <v/>
      </c>
      <c r="H27" s="28" t="str">
        <f aca="false">IF($A27="","",IF('1-Turizm Rehberliği'!F24="","",'1-Turizm Rehberliği'!F24))</f>
        <v/>
      </c>
      <c r="I27" s="28" t="str">
        <f aca="false">IF($A27="","",IF('1-Turizm Rehberliği'!G24="","",'1-Turizm Rehberliği'!G24))</f>
        <v/>
      </c>
      <c r="J27" s="28" t="str">
        <f aca="false">IF($A27="","",IF('1-Turizm Rehberliği'!H24="","",'1-Turizm Rehberliği'!H24))</f>
        <v/>
      </c>
      <c r="K27" s="28" t="str">
        <f aca="false">IF($A27="","",IF('1-Turizm Rehberliği'!I24="","",'1-Turizm Rehberliği'!I24))</f>
        <v/>
      </c>
      <c r="L27" s="28" t="str">
        <f aca="false">IF($I27="","",MATCH($I27,{"08.00";"09.00";"10.00";"11.00";"12.00";"13.00";"14.00";"15.00";"16.00";"17.00"},0))</f>
        <v/>
      </c>
      <c r="M27" s="28" t="str">
        <f aca="false">IF(OR($L27="",$J27=""),"",$L27+$J27-1)</f>
        <v/>
      </c>
      <c r="N27" s="28" t="str">
        <f aca="false">IF($A27="","",IF(OR($L27="",$M27=""),"",IF($M27&gt;10,"⚠ Saat Taşıyor","")))</f>
        <v/>
      </c>
      <c r="O27" s="28" t="str">
        <f aca="false">IF($A27="","",IF(OR($G27="",$H27="",$L27=""),"",IF(SUMPRODUCT(($A$7:$A$606&lt;&gt;"")*($G$7:$G$606=$G27)*($H$7:$H$606=$H27)*(ROW($A$7:$A$606)&lt;&gt;27)*($L$7:$L$606&lt;=$M27)*($M$7:$M$606&gt;=$L27))&gt;0,"⚠ Çakışma","OK")))</f>
        <v/>
      </c>
      <c r="P27" s="28" t="str">
        <f aca="false">IF($A27="","",IF(OR($K27="",$H27="",$L27=""),"",IF(SUMPRODUCT(($A$7:$A$606&lt;&gt;"")*($K$7:$K$606=$K27)*($H$7:$H$606=$H27)*(ROW($A$7:$A$606)&lt;&gt;27)*($L$7:$L$606&lt;=$M27)*($M$7:$M$606&gt;=$L27))&gt;0,"⚠ Çakışma","OK")))</f>
        <v/>
      </c>
      <c r="Q27" s="28" t="str">
        <f aca="false">IF($A27="","",IF(OR($E27="",$H27="",$L27=""),"",IF(SUMPRODUCT(($A$7:$A$606&lt;&gt;"")*($E$7:$E$606=$E27)*($H$7:$H$606=$H27)*(ROW($A$7:$A$606)&lt;&gt;27)*($L$7:$L$606&lt;=$M27)*($M$7:$M$606&gt;=$L27))&gt;0,"⚠ Çakışma","OK")))</f>
        <v/>
      </c>
      <c r="R27" s="28" t="str">
        <f aca="false">IF($A27="","",IF(OR($N27&lt;&gt;"",$O27="⚠ Çakışma",$P27="⚠ Çakışma",$Q27="⚠ Çakışma"),"⚠ Kontrol Et","✓ Uygun"))</f>
        <v/>
      </c>
    </row>
    <row r="28" customFormat="false" ht="13.5" hidden="false" customHeight="true" outlineLevel="0" collapsed="false">
      <c r="A28" s="28" t="str">
        <f aca="false">IF('1-Turizm Rehberliği'!A25="","","Turizm Rehberliği")</f>
        <v/>
      </c>
      <c r="B28" s="28" t="str">
        <f aca="false">IF($A28="","",IF('1-Turizm Rehberliği'!A25="","",'1-Turizm Rehberliği'!A25))</f>
        <v/>
      </c>
      <c r="C28" s="29" t="str">
        <f aca="false">IF($A28="","",IF('1-Turizm Rehberliği'!B25="","",'1-Turizm Rehberliği'!B25))</f>
        <v/>
      </c>
      <c r="D28" s="28" t="str">
        <f aca="false">IF($A28="","",IF('1-Turizm Rehberliği'!C25="","",'1-Turizm Rehberliği'!C25))</f>
        <v/>
      </c>
      <c r="E28" s="28" t="str">
        <f aca="false">IF($A28="","",$A28&amp;"-"&amp;$D28)</f>
        <v/>
      </c>
      <c r="F28" s="28" t="str">
        <f aca="false">IF($A28="","",IF('1-Turizm Rehberliği'!D25="","",'1-Turizm Rehberliği'!D25))</f>
        <v/>
      </c>
      <c r="G28" s="28" t="str">
        <f aca="false">IF($A28="","",IF('1-Turizm Rehberliği'!E25="","",'1-Turizm Rehberliği'!E25))</f>
        <v/>
      </c>
      <c r="H28" s="28" t="str">
        <f aca="false">IF($A28="","",IF('1-Turizm Rehberliği'!F25="","",'1-Turizm Rehberliği'!F25))</f>
        <v/>
      </c>
      <c r="I28" s="28" t="str">
        <f aca="false">IF($A28="","",IF('1-Turizm Rehberliği'!G25="","",'1-Turizm Rehberliği'!G25))</f>
        <v/>
      </c>
      <c r="J28" s="28" t="str">
        <f aca="false">IF($A28="","",IF('1-Turizm Rehberliği'!H25="","",'1-Turizm Rehberliği'!H25))</f>
        <v/>
      </c>
      <c r="K28" s="28" t="str">
        <f aca="false">IF($A28="","",IF('1-Turizm Rehberliği'!I25="","",'1-Turizm Rehberliği'!I25))</f>
        <v/>
      </c>
      <c r="L28" s="28" t="str">
        <f aca="false">IF($I28="","",MATCH($I28,{"08.00";"09.00";"10.00";"11.00";"12.00";"13.00";"14.00";"15.00";"16.00";"17.00"},0))</f>
        <v/>
      </c>
      <c r="M28" s="28" t="str">
        <f aca="false">IF(OR($L28="",$J28=""),"",$L28+$J28-1)</f>
        <v/>
      </c>
      <c r="N28" s="28" t="str">
        <f aca="false">IF($A28="","",IF(OR($L28="",$M28=""),"",IF($M28&gt;10,"⚠ Saat Taşıyor","")))</f>
        <v/>
      </c>
      <c r="O28" s="28" t="str">
        <f aca="false">IF($A28="","",IF(OR($G28="",$H28="",$L28=""),"",IF(SUMPRODUCT(($A$7:$A$606&lt;&gt;"")*($G$7:$G$606=$G28)*($H$7:$H$606=$H28)*(ROW($A$7:$A$606)&lt;&gt;28)*($L$7:$L$606&lt;=$M28)*($M$7:$M$606&gt;=$L28))&gt;0,"⚠ Çakışma","OK")))</f>
        <v/>
      </c>
      <c r="P28" s="28" t="str">
        <f aca="false">IF($A28="","",IF(OR($K28="",$H28="",$L28=""),"",IF(SUMPRODUCT(($A$7:$A$606&lt;&gt;"")*($K$7:$K$606=$K28)*($H$7:$H$606=$H28)*(ROW($A$7:$A$606)&lt;&gt;28)*($L$7:$L$606&lt;=$M28)*($M$7:$M$606&gt;=$L28))&gt;0,"⚠ Çakışma","OK")))</f>
        <v/>
      </c>
      <c r="Q28" s="28" t="str">
        <f aca="false">IF($A28="","",IF(OR($E28="",$H28="",$L28=""),"",IF(SUMPRODUCT(($A$7:$A$606&lt;&gt;"")*($E$7:$E$606=$E28)*($H$7:$H$606=$H28)*(ROW($A$7:$A$606)&lt;&gt;28)*($L$7:$L$606&lt;=$M28)*($M$7:$M$606&gt;=$L28))&gt;0,"⚠ Çakışma","OK")))</f>
        <v/>
      </c>
      <c r="R28" s="28" t="str">
        <f aca="false">IF($A28="","",IF(OR($N28&lt;&gt;"",$O28="⚠ Çakışma",$P28="⚠ Çakışma",$Q28="⚠ Çakışma"),"⚠ Kontrol Et","✓ Uygun"))</f>
        <v/>
      </c>
    </row>
    <row r="29" customFormat="false" ht="13.5" hidden="false" customHeight="true" outlineLevel="0" collapsed="false">
      <c r="A29" s="28" t="str">
        <f aca="false">IF('1-Turizm Rehberliği'!A26="","","Turizm Rehberliği")</f>
        <v/>
      </c>
      <c r="B29" s="28" t="str">
        <f aca="false">IF($A29="","",IF('1-Turizm Rehberliği'!A26="","",'1-Turizm Rehberliği'!A26))</f>
        <v/>
      </c>
      <c r="C29" s="29" t="str">
        <f aca="false">IF($A29="","",IF('1-Turizm Rehberliği'!B26="","",'1-Turizm Rehberliği'!B26))</f>
        <v/>
      </c>
      <c r="D29" s="28" t="str">
        <f aca="false">IF($A29="","",IF('1-Turizm Rehberliği'!C26="","",'1-Turizm Rehberliği'!C26))</f>
        <v/>
      </c>
      <c r="E29" s="28" t="str">
        <f aca="false">IF($A29="","",$A29&amp;"-"&amp;$D29)</f>
        <v/>
      </c>
      <c r="F29" s="28" t="str">
        <f aca="false">IF($A29="","",IF('1-Turizm Rehberliği'!D26="","",'1-Turizm Rehberliği'!D26))</f>
        <v/>
      </c>
      <c r="G29" s="28" t="str">
        <f aca="false">IF($A29="","",IF('1-Turizm Rehberliği'!E26="","",'1-Turizm Rehberliği'!E26))</f>
        <v/>
      </c>
      <c r="H29" s="28" t="str">
        <f aca="false">IF($A29="","",IF('1-Turizm Rehberliği'!F26="","",'1-Turizm Rehberliği'!F26))</f>
        <v/>
      </c>
      <c r="I29" s="28" t="str">
        <f aca="false">IF($A29="","",IF('1-Turizm Rehberliği'!G26="","",'1-Turizm Rehberliği'!G26))</f>
        <v/>
      </c>
      <c r="J29" s="28" t="str">
        <f aca="false">IF($A29="","",IF('1-Turizm Rehberliği'!H26="","",'1-Turizm Rehberliği'!H26))</f>
        <v/>
      </c>
      <c r="K29" s="28" t="str">
        <f aca="false">IF($A29="","",IF('1-Turizm Rehberliği'!I26="","",'1-Turizm Rehberliği'!I26))</f>
        <v/>
      </c>
      <c r="L29" s="28" t="str">
        <f aca="false">IF($I29="","",MATCH($I29,{"08.00";"09.00";"10.00";"11.00";"12.00";"13.00";"14.00";"15.00";"16.00";"17.00"},0))</f>
        <v/>
      </c>
      <c r="M29" s="28" t="str">
        <f aca="false">IF(OR($L29="",$J29=""),"",$L29+$J29-1)</f>
        <v/>
      </c>
      <c r="N29" s="28" t="str">
        <f aca="false">IF($A29="","",IF(OR($L29="",$M29=""),"",IF($M29&gt;10,"⚠ Saat Taşıyor","")))</f>
        <v/>
      </c>
      <c r="O29" s="28" t="str">
        <f aca="false">IF($A29="","",IF(OR($G29="",$H29="",$L29=""),"",IF(SUMPRODUCT(($A$7:$A$606&lt;&gt;"")*($G$7:$G$606=$G29)*($H$7:$H$606=$H29)*(ROW($A$7:$A$606)&lt;&gt;29)*($L$7:$L$606&lt;=$M29)*($M$7:$M$606&gt;=$L29))&gt;0,"⚠ Çakışma","OK")))</f>
        <v/>
      </c>
      <c r="P29" s="28" t="str">
        <f aca="false">IF($A29="","",IF(OR($K29="",$H29="",$L29=""),"",IF(SUMPRODUCT(($A$7:$A$606&lt;&gt;"")*($K$7:$K$606=$K29)*($H$7:$H$606=$H29)*(ROW($A$7:$A$606)&lt;&gt;29)*($L$7:$L$606&lt;=$M29)*($M$7:$M$606&gt;=$L29))&gt;0,"⚠ Çakışma","OK")))</f>
        <v/>
      </c>
      <c r="Q29" s="28" t="str">
        <f aca="false">IF($A29="","",IF(OR($E29="",$H29="",$L29=""),"",IF(SUMPRODUCT(($A$7:$A$606&lt;&gt;"")*($E$7:$E$606=$E29)*($H$7:$H$606=$H29)*(ROW($A$7:$A$606)&lt;&gt;29)*($L$7:$L$606&lt;=$M29)*($M$7:$M$606&gt;=$L29))&gt;0,"⚠ Çakışma","OK")))</f>
        <v/>
      </c>
      <c r="R29" s="28" t="str">
        <f aca="false">IF($A29="","",IF(OR($N29&lt;&gt;"",$O29="⚠ Çakışma",$P29="⚠ Çakışma",$Q29="⚠ Çakışma"),"⚠ Kontrol Et","✓ Uygun"))</f>
        <v/>
      </c>
    </row>
    <row r="30" customFormat="false" ht="13.5" hidden="false" customHeight="true" outlineLevel="0" collapsed="false">
      <c r="A30" s="28" t="str">
        <f aca="false">IF('1-Turizm Rehberliği'!A27="","","Turizm Rehberliği")</f>
        <v/>
      </c>
      <c r="B30" s="28" t="str">
        <f aca="false">IF($A30="","",IF('1-Turizm Rehberliği'!A27="","",'1-Turizm Rehberliği'!A27))</f>
        <v/>
      </c>
      <c r="C30" s="29" t="str">
        <f aca="false">IF($A30="","",IF('1-Turizm Rehberliği'!B27="","",'1-Turizm Rehberliği'!B27))</f>
        <v/>
      </c>
      <c r="D30" s="28" t="str">
        <f aca="false">IF($A30="","",IF('1-Turizm Rehberliği'!C27="","",'1-Turizm Rehberliği'!C27))</f>
        <v/>
      </c>
      <c r="E30" s="28" t="str">
        <f aca="false">IF($A30="","",$A30&amp;"-"&amp;$D30)</f>
        <v/>
      </c>
      <c r="F30" s="28" t="str">
        <f aca="false">IF($A30="","",IF('1-Turizm Rehberliği'!D27="","",'1-Turizm Rehberliği'!D27))</f>
        <v/>
      </c>
      <c r="G30" s="28" t="str">
        <f aca="false">IF($A30="","",IF('1-Turizm Rehberliği'!E27="","",'1-Turizm Rehberliği'!E27))</f>
        <v/>
      </c>
      <c r="H30" s="28" t="str">
        <f aca="false">IF($A30="","",IF('1-Turizm Rehberliği'!F27="","",'1-Turizm Rehberliği'!F27))</f>
        <v/>
      </c>
      <c r="I30" s="28" t="str">
        <f aca="false">IF($A30="","",IF('1-Turizm Rehberliği'!G27="","",'1-Turizm Rehberliği'!G27))</f>
        <v/>
      </c>
      <c r="J30" s="28" t="str">
        <f aca="false">IF($A30="","",IF('1-Turizm Rehberliği'!H27="","",'1-Turizm Rehberliği'!H27))</f>
        <v/>
      </c>
      <c r="K30" s="28" t="str">
        <f aca="false">IF($A30="","",IF('1-Turizm Rehberliği'!I27="","",'1-Turizm Rehberliği'!I27))</f>
        <v/>
      </c>
      <c r="L30" s="28" t="str">
        <f aca="false">IF($I30="","",MATCH($I30,{"08.00";"09.00";"10.00";"11.00";"12.00";"13.00";"14.00";"15.00";"16.00";"17.00"},0))</f>
        <v/>
      </c>
      <c r="M30" s="28" t="str">
        <f aca="false">IF(OR($L30="",$J30=""),"",$L30+$J30-1)</f>
        <v/>
      </c>
      <c r="N30" s="28" t="str">
        <f aca="false">IF($A30="","",IF(OR($L30="",$M30=""),"",IF($M30&gt;10,"⚠ Saat Taşıyor","")))</f>
        <v/>
      </c>
      <c r="O30" s="28" t="str">
        <f aca="false">IF($A30="","",IF(OR($G30="",$H30="",$L30=""),"",IF(SUMPRODUCT(($A$7:$A$606&lt;&gt;"")*($G$7:$G$606=$G30)*($H$7:$H$606=$H30)*(ROW($A$7:$A$606)&lt;&gt;30)*($L$7:$L$606&lt;=$M30)*($M$7:$M$606&gt;=$L30))&gt;0,"⚠ Çakışma","OK")))</f>
        <v/>
      </c>
      <c r="P30" s="28" t="str">
        <f aca="false">IF($A30="","",IF(OR($K30="",$H30="",$L30=""),"",IF(SUMPRODUCT(($A$7:$A$606&lt;&gt;"")*($K$7:$K$606=$K30)*($H$7:$H$606=$H30)*(ROW($A$7:$A$606)&lt;&gt;30)*($L$7:$L$606&lt;=$M30)*($M$7:$M$606&gt;=$L30))&gt;0,"⚠ Çakışma","OK")))</f>
        <v/>
      </c>
      <c r="Q30" s="28" t="str">
        <f aca="false">IF($A30="","",IF(OR($E30="",$H30="",$L30=""),"",IF(SUMPRODUCT(($A$7:$A$606&lt;&gt;"")*($E$7:$E$606=$E30)*($H$7:$H$606=$H30)*(ROW($A$7:$A$606)&lt;&gt;30)*($L$7:$L$606&lt;=$M30)*($M$7:$M$606&gt;=$L30))&gt;0,"⚠ Çakışma","OK")))</f>
        <v/>
      </c>
      <c r="R30" s="28" t="str">
        <f aca="false">IF($A30="","",IF(OR($N30&lt;&gt;"",$O30="⚠ Çakışma",$P30="⚠ Çakışma",$Q30="⚠ Çakışma"),"⚠ Kontrol Et","✓ Uygun"))</f>
        <v/>
      </c>
    </row>
    <row r="31" customFormat="false" ht="13.5" hidden="false" customHeight="true" outlineLevel="0" collapsed="false">
      <c r="A31" s="28" t="str">
        <f aca="false">IF('1-Turizm Rehberliği'!A28="","","Turizm Rehberliği")</f>
        <v/>
      </c>
      <c r="B31" s="28" t="str">
        <f aca="false">IF($A31="","",IF('1-Turizm Rehberliği'!A28="","",'1-Turizm Rehberliği'!A28))</f>
        <v/>
      </c>
      <c r="C31" s="29" t="str">
        <f aca="false">IF($A31="","",IF('1-Turizm Rehberliği'!B28="","",'1-Turizm Rehberliği'!B28))</f>
        <v/>
      </c>
      <c r="D31" s="28" t="str">
        <f aca="false">IF($A31="","",IF('1-Turizm Rehberliği'!C28="","",'1-Turizm Rehberliği'!C28))</f>
        <v/>
      </c>
      <c r="E31" s="28" t="str">
        <f aca="false">IF($A31="","",$A31&amp;"-"&amp;$D31)</f>
        <v/>
      </c>
      <c r="F31" s="28" t="str">
        <f aca="false">IF($A31="","",IF('1-Turizm Rehberliği'!D28="","",'1-Turizm Rehberliği'!D28))</f>
        <v/>
      </c>
      <c r="G31" s="28" t="str">
        <f aca="false">IF($A31="","",IF('1-Turizm Rehberliği'!E28="","",'1-Turizm Rehberliği'!E28))</f>
        <v/>
      </c>
      <c r="H31" s="28" t="str">
        <f aca="false">IF($A31="","",IF('1-Turizm Rehberliği'!F28="","",'1-Turizm Rehberliği'!F28))</f>
        <v/>
      </c>
      <c r="I31" s="28" t="str">
        <f aca="false">IF($A31="","",IF('1-Turizm Rehberliği'!G28="","",'1-Turizm Rehberliği'!G28))</f>
        <v/>
      </c>
      <c r="J31" s="28" t="str">
        <f aca="false">IF($A31="","",IF('1-Turizm Rehberliği'!H28="","",'1-Turizm Rehberliği'!H28))</f>
        <v/>
      </c>
      <c r="K31" s="28" t="str">
        <f aca="false">IF($A31="","",IF('1-Turizm Rehberliği'!I28="","",'1-Turizm Rehberliği'!I28))</f>
        <v/>
      </c>
      <c r="L31" s="28" t="str">
        <f aca="false">IF($I31="","",MATCH($I31,{"08.00";"09.00";"10.00";"11.00";"12.00";"13.00";"14.00";"15.00";"16.00";"17.00"},0))</f>
        <v/>
      </c>
      <c r="M31" s="28" t="str">
        <f aca="false">IF(OR($L31="",$J31=""),"",$L31+$J31-1)</f>
        <v/>
      </c>
      <c r="N31" s="28" t="str">
        <f aca="false">IF($A31="","",IF(OR($L31="",$M31=""),"",IF($M31&gt;10,"⚠ Saat Taşıyor","")))</f>
        <v/>
      </c>
      <c r="O31" s="28" t="str">
        <f aca="false">IF($A31="","",IF(OR($G31="",$H31="",$L31=""),"",IF(SUMPRODUCT(($A$7:$A$606&lt;&gt;"")*($G$7:$G$606=$G31)*($H$7:$H$606=$H31)*(ROW($A$7:$A$606)&lt;&gt;31)*($L$7:$L$606&lt;=$M31)*($M$7:$M$606&gt;=$L31))&gt;0,"⚠ Çakışma","OK")))</f>
        <v/>
      </c>
      <c r="P31" s="28" t="str">
        <f aca="false">IF($A31="","",IF(OR($K31="",$H31="",$L31=""),"",IF(SUMPRODUCT(($A$7:$A$606&lt;&gt;"")*($K$7:$K$606=$K31)*($H$7:$H$606=$H31)*(ROW($A$7:$A$606)&lt;&gt;31)*($L$7:$L$606&lt;=$M31)*($M$7:$M$606&gt;=$L31))&gt;0,"⚠ Çakışma","OK")))</f>
        <v/>
      </c>
      <c r="Q31" s="28" t="str">
        <f aca="false">IF($A31="","",IF(OR($E31="",$H31="",$L31=""),"",IF(SUMPRODUCT(($A$7:$A$606&lt;&gt;"")*($E$7:$E$606=$E31)*($H$7:$H$606=$H31)*(ROW($A$7:$A$606)&lt;&gt;31)*($L$7:$L$606&lt;=$M31)*($M$7:$M$606&gt;=$L31))&gt;0,"⚠ Çakışma","OK")))</f>
        <v/>
      </c>
      <c r="R31" s="28" t="str">
        <f aca="false">IF($A31="","",IF(OR($N31&lt;&gt;"",$O31="⚠ Çakışma",$P31="⚠ Çakışma",$Q31="⚠ Çakışma"),"⚠ Kontrol Et","✓ Uygun"))</f>
        <v/>
      </c>
    </row>
    <row r="32" customFormat="false" ht="13.5" hidden="false" customHeight="true" outlineLevel="0" collapsed="false">
      <c r="A32" s="28" t="str">
        <f aca="false">IF('1-Turizm Rehberliği'!A29="","","Turizm Rehberliği")</f>
        <v/>
      </c>
      <c r="B32" s="28" t="str">
        <f aca="false">IF($A32="","",IF('1-Turizm Rehberliği'!A29="","",'1-Turizm Rehberliği'!A29))</f>
        <v/>
      </c>
      <c r="C32" s="29" t="str">
        <f aca="false">IF($A32="","",IF('1-Turizm Rehberliği'!B29="","",'1-Turizm Rehberliği'!B29))</f>
        <v/>
      </c>
      <c r="D32" s="28" t="str">
        <f aca="false">IF($A32="","",IF('1-Turizm Rehberliği'!C29="","",'1-Turizm Rehberliği'!C29))</f>
        <v/>
      </c>
      <c r="E32" s="28" t="str">
        <f aca="false">IF($A32="","",$A32&amp;"-"&amp;$D32)</f>
        <v/>
      </c>
      <c r="F32" s="28" t="str">
        <f aca="false">IF($A32="","",IF('1-Turizm Rehberliği'!D29="","",'1-Turizm Rehberliği'!D29))</f>
        <v/>
      </c>
      <c r="G32" s="28" t="str">
        <f aca="false">IF($A32="","",IF('1-Turizm Rehberliği'!E29="","",'1-Turizm Rehberliği'!E29))</f>
        <v/>
      </c>
      <c r="H32" s="28" t="str">
        <f aca="false">IF($A32="","",IF('1-Turizm Rehberliği'!F29="","",'1-Turizm Rehberliği'!F29))</f>
        <v/>
      </c>
      <c r="I32" s="28" t="str">
        <f aca="false">IF($A32="","",IF('1-Turizm Rehberliği'!G29="","",'1-Turizm Rehberliği'!G29))</f>
        <v/>
      </c>
      <c r="J32" s="28" t="str">
        <f aca="false">IF($A32="","",IF('1-Turizm Rehberliği'!H29="","",'1-Turizm Rehberliği'!H29))</f>
        <v/>
      </c>
      <c r="K32" s="28" t="str">
        <f aca="false">IF($A32="","",IF('1-Turizm Rehberliği'!I29="","",'1-Turizm Rehberliği'!I29))</f>
        <v/>
      </c>
      <c r="L32" s="28" t="str">
        <f aca="false">IF($I32="","",MATCH($I32,{"08.00";"09.00";"10.00";"11.00";"12.00";"13.00";"14.00";"15.00";"16.00";"17.00"},0))</f>
        <v/>
      </c>
      <c r="M32" s="28" t="str">
        <f aca="false">IF(OR($L32="",$J32=""),"",$L32+$J32-1)</f>
        <v/>
      </c>
      <c r="N32" s="28" t="str">
        <f aca="false">IF($A32="","",IF(OR($L32="",$M32=""),"",IF($M32&gt;10,"⚠ Saat Taşıyor","")))</f>
        <v/>
      </c>
      <c r="O32" s="28" t="str">
        <f aca="false">IF($A32="","",IF(OR($G32="",$H32="",$L32=""),"",IF(SUMPRODUCT(($A$7:$A$606&lt;&gt;"")*($G$7:$G$606=$G32)*($H$7:$H$606=$H32)*(ROW($A$7:$A$606)&lt;&gt;32)*($L$7:$L$606&lt;=$M32)*($M$7:$M$606&gt;=$L32))&gt;0,"⚠ Çakışma","OK")))</f>
        <v/>
      </c>
      <c r="P32" s="28" t="str">
        <f aca="false">IF($A32="","",IF(OR($K32="",$H32="",$L32=""),"",IF(SUMPRODUCT(($A$7:$A$606&lt;&gt;"")*($K$7:$K$606=$K32)*($H$7:$H$606=$H32)*(ROW($A$7:$A$606)&lt;&gt;32)*($L$7:$L$606&lt;=$M32)*($M$7:$M$606&gt;=$L32))&gt;0,"⚠ Çakışma","OK")))</f>
        <v/>
      </c>
      <c r="Q32" s="28" t="str">
        <f aca="false">IF($A32="","",IF(OR($E32="",$H32="",$L32=""),"",IF(SUMPRODUCT(($A$7:$A$606&lt;&gt;"")*($E$7:$E$606=$E32)*($H$7:$H$606=$H32)*(ROW($A$7:$A$606)&lt;&gt;32)*($L$7:$L$606&lt;=$M32)*($M$7:$M$606&gt;=$L32))&gt;0,"⚠ Çakışma","OK")))</f>
        <v/>
      </c>
      <c r="R32" s="28" t="str">
        <f aca="false">IF($A32="","",IF(OR($N32&lt;&gt;"",$O32="⚠ Çakışma",$P32="⚠ Çakışma",$Q32="⚠ Çakışma"),"⚠ Kontrol Et","✓ Uygun"))</f>
        <v/>
      </c>
    </row>
    <row r="33" customFormat="false" ht="13.5" hidden="false" customHeight="true" outlineLevel="0" collapsed="false">
      <c r="A33" s="28" t="str">
        <f aca="false">IF('1-Turizm Rehberliği'!A30="","","Turizm Rehberliği")</f>
        <v/>
      </c>
      <c r="B33" s="28" t="str">
        <f aca="false">IF($A33="","",IF('1-Turizm Rehberliği'!A30="","",'1-Turizm Rehberliği'!A30))</f>
        <v/>
      </c>
      <c r="C33" s="29" t="str">
        <f aca="false">IF($A33="","",IF('1-Turizm Rehberliği'!B30="","",'1-Turizm Rehberliği'!B30))</f>
        <v/>
      </c>
      <c r="D33" s="28" t="str">
        <f aca="false">IF($A33="","",IF('1-Turizm Rehberliği'!C30="","",'1-Turizm Rehberliği'!C30))</f>
        <v/>
      </c>
      <c r="E33" s="28" t="str">
        <f aca="false">IF($A33="","",$A33&amp;"-"&amp;$D33)</f>
        <v/>
      </c>
      <c r="F33" s="28" t="str">
        <f aca="false">IF($A33="","",IF('1-Turizm Rehberliği'!D30="","",'1-Turizm Rehberliği'!D30))</f>
        <v/>
      </c>
      <c r="G33" s="28" t="str">
        <f aca="false">IF($A33="","",IF('1-Turizm Rehberliği'!E30="","",'1-Turizm Rehberliği'!E30))</f>
        <v/>
      </c>
      <c r="H33" s="28" t="str">
        <f aca="false">IF($A33="","",IF('1-Turizm Rehberliği'!F30="","",'1-Turizm Rehberliği'!F30))</f>
        <v/>
      </c>
      <c r="I33" s="28" t="str">
        <f aca="false">IF($A33="","",IF('1-Turizm Rehberliği'!G30="","",'1-Turizm Rehberliği'!G30))</f>
        <v/>
      </c>
      <c r="J33" s="28" t="str">
        <f aca="false">IF($A33="","",IF('1-Turizm Rehberliği'!H30="","",'1-Turizm Rehberliği'!H30))</f>
        <v/>
      </c>
      <c r="K33" s="28" t="str">
        <f aca="false">IF($A33="","",IF('1-Turizm Rehberliği'!I30="","",'1-Turizm Rehberliği'!I30))</f>
        <v/>
      </c>
      <c r="L33" s="28" t="str">
        <f aca="false">IF($I33="","",MATCH($I33,{"08.00";"09.00";"10.00";"11.00";"12.00";"13.00";"14.00";"15.00";"16.00";"17.00"},0))</f>
        <v/>
      </c>
      <c r="M33" s="28" t="str">
        <f aca="false">IF(OR($L33="",$J33=""),"",$L33+$J33-1)</f>
        <v/>
      </c>
      <c r="N33" s="28" t="str">
        <f aca="false">IF($A33="","",IF(OR($L33="",$M33=""),"",IF($M33&gt;10,"⚠ Saat Taşıyor","")))</f>
        <v/>
      </c>
      <c r="O33" s="28" t="str">
        <f aca="false">IF($A33="","",IF(OR($G33="",$H33="",$L33=""),"",IF(SUMPRODUCT(($A$7:$A$606&lt;&gt;"")*($G$7:$G$606=$G33)*($H$7:$H$606=$H33)*(ROW($A$7:$A$606)&lt;&gt;33)*($L$7:$L$606&lt;=$M33)*($M$7:$M$606&gt;=$L33))&gt;0,"⚠ Çakışma","OK")))</f>
        <v/>
      </c>
      <c r="P33" s="28" t="str">
        <f aca="false">IF($A33="","",IF(OR($K33="",$H33="",$L33=""),"",IF(SUMPRODUCT(($A$7:$A$606&lt;&gt;"")*($K$7:$K$606=$K33)*($H$7:$H$606=$H33)*(ROW($A$7:$A$606)&lt;&gt;33)*($L$7:$L$606&lt;=$M33)*($M$7:$M$606&gt;=$L33))&gt;0,"⚠ Çakışma","OK")))</f>
        <v/>
      </c>
      <c r="Q33" s="28" t="str">
        <f aca="false">IF($A33="","",IF(OR($E33="",$H33="",$L33=""),"",IF(SUMPRODUCT(($A$7:$A$606&lt;&gt;"")*($E$7:$E$606=$E33)*($H$7:$H$606=$H33)*(ROW($A$7:$A$606)&lt;&gt;33)*($L$7:$L$606&lt;=$M33)*($M$7:$M$606&gt;=$L33))&gt;0,"⚠ Çakışma","OK")))</f>
        <v/>
      </c>
      <c r="R33" s="28" t="str">
        <f aca="false">IF($A33="","",IF(OR($N33&lt;&gt;"",$O33="⚠ Çakışma",$P33="⚠ Çakışma",$Q33="⚠ Çakışma"),"⚠ Kontrol Et","✓ Uygun"))</f>
        <v/>
      </c>
    </row>
    <row r="34" customFormat="false" ht="13.5" hidden="false" customHeight="true" outlineLevel="0" collapsed="false">
      <c r="A34" s="28" t="str">
        <f aca="false">IF('1-Turizm Rehberliği'!A31="","","Turizm Rehberliği")</f>
        <v/>
      </c>
      <c r="B34" s="28" t="str">
        <f aca="false">IF($A34="","",IF('1-Turizm Rehberliği'!A31="","",'1-Turizm Rehberliği'!A31))</f>
        <v/>
      </c>
      <c r="C34" s="29" t="str">
        <f aca="false">IF($A34="","",IF('1-Turizm Rehberliği'!B31="","",'1-Turizm Rehberliği'!B31))</f>
        <v/>
      </c>
      <c r="D34" s="28" t="str">
        <f aca="false">IF($A34="","",IF('1-Turizm Rehberliği'!C31="","",'1-Turizm Rehberliği'!C31))</f>
        <v/>
      </c>
      <c r="E34" s="28" t="str">
        <f aca="false">IF($A34="","",$A34&amp;"-"&amp;$D34)</f>
        <v/>
      </c>
      <c r="F34" s="28" t="str">
        <f aca="false">IF($A34="","",IF('1-Turizm Rehberliği'!D31="","",'1-Turizm Rehberliği'!D31))</f>
        <v/>
      </c>
      <c r="G34" s="28" t="str">
        <f aca="false">IF($A34="","",IF('1-Turizm Rehberliği'!E31="","",'1-Turizm Rehberliği'!E31))</f>
        <v/>
      </c>
      <c r="H34" s="28" t="str">
        <f aca="false">IF($A34="","",IF('1-Turizm Rehberliği'!F31="","",'1-Turizm Rehberliği'!F31))</f>
        <v/>
      </c>
      <c r="I34" s="28" t="str">
        <f aca="false">IF($A34="","",IF('1-Turizm Rehberliği'!G31="","",'1-Turizm Rehberliği'!G31))</f>
        <v/>
      </c>
      <c r="J34" s="28" t="str">
        <f aca="false">IF($A34="","",IF('1-Turizm Rehberliği'!H31="","",'1-Turizm Rehberliği'!H31))</f>
        <v/>
      </c>
      <c r="K34" s="28" t="str">
        <f aca="false">IF($A34="","",IF('1-Turizm Rehberliği'!I31="","",'1-Turizm Rehberliği'!I31))</f>
        <v/>
      </c>
      <c r="L34" s="28" t="str">
        <f aca="false">IF($I34="","",MATCH($I34,{"08.00";"09.00";"10.00";"11.00";"12.00";"13.00";"14.00";"15.00";"16.00";"17.00"},0))</f>
        <v/>
      </c>
      <c r="M34" s="28" t="str">
        <f aca="false">IF(OR($L34="",$J34=""),"",$L34+$J34-1)</f>
        <v/>
      </c>
      <c r="N34" s="28" t="str">
        <f aca="false">IF($A34="","",IF(OR($L34="",$M34=""),"",IF($M34&gt;10,"⚠ Saat Taşıyor","")))</f>
        <v/>
      </c>
      <c r="O34" s="28" t="str">
        <f aca="false">IF($A34="","",IF(OR($G34="",$H34="",$L34=""),"",IF(SUMPRODUCT(($A$7:$A$606&lt;&gt;"")*($G$7:$G$606=$G34)*($H$7:$H$606=$H34)*(ROW($A$7:$A$606)&lt;&gt;34)*($L$7:$L$606&lt;=$M34)*($M$7:$M$606&gt;=$L34))&gt;0,"⚠ Çakışma","OK")))</f>
        <v/>
      </c>
      <c r="P34" s="28" t="str">
        <f aca="false">IF($A34="","",IF(OR($K34="",$H34="",$L34=""),"",IF(SUMPRODUCT(($A$7:$A$606&lt;&gt;"")*($K$7:$K$606=$K34)*($H$7:$H$606=$H34)*(ROW($A$7:$A$606)&lt;&gt;34)*($L$7:$L$606&lt;=$M34)*($M$7:$M$606&gt;=$L34))&gt;0,"⚠ Çakışma","OK")))</f>
        <v/>
      </c>
      <c r="Q34" s="28" t="str">
        <f aca="false">IF($A34="","",IF(OR($E34="",$H34="",$L34=""),"",IF(SUMPRODUCT(($A$7:$A$606&lt;&gt;"")*($E$7:$E$606=$E34)*($H$7:$H$606=$H34)*(ROW($A$7:$A$606)&lt;&gt;34)*($L$7:$L$606&lt;=$M34)*($M$7:$M$606&gt;=$L34))&gt;0,"⚠ Çakışma","OK")))</f>
        <v/>
      </c>
      <c r="R34" s="28" t="str">
        <f aca="false">IF($A34="","",IF(OR($N34&lt;&gt;"",$O34="⚠ Çakışma",$P34="⚠ Çakışma",$Q34="⚠ Çakışma"),"⚠ Kontrol Et","✓ Uygun"))</f>
        <v/>
      </c>
    </row>
    <row r="35" customFormat="false" ht="13.5" hidden="false" customHeight="true" outlineLevel="0" collapsed="false">
      <c r="A35" s="28" t="str">
        <f aca="false">IF('1-Turizm Rehberliği'!A32="","","Turizm Rehberliği")</f>
        <v/>
      </c>
      <c r="B35" s="28" t="str">
        <f aca="false">IF($A35="","",IF('1-Turizm Rehberliği'!A32="","",'1-Turizm Rehberliği'!A32))</f>
        <v/>
      </c>
      <c r="C35" s="29" t="str">
        <f aca="false">IF($A35="","",IF('1-Turizm Rehberliği'!B32="","",'1-Turizm Rehberliği'!B32))</f>
        <v/>
      </c>
      <c r="D35" s="28" t="str">
        <f aca="false">IF($A35="","",IF('1-Turizm Rehberliği'!C32="","",'1-Turizm Rehberliği'!C32))</f>
        <v/>
      </c>
      <c r="E35" s="28" t="str">
        <f aca="false">IF($A35="","",$A35&amp;"-"&amp;$D35)</f>
        <v/>
      </c>
      <c r="F35" s="28" t="str">
        <f aca="false">IF($A35="","",IF('1-Turizm Rehberliği'!D32="","",'1-Turizm Rehberliği'!D32))</f>
        <v/>
      </c>
      <c r="G35" s="28" t="str">
        <f aca="false">IF($A35="","",IF('1-Turizm Rehberliği'!E32="","",'1-Turizm Rehberliği'!E32))</f>
        <v/>
      </c>
      <c r="H35" s="28" t="str">
        <f aca="false">IF($A35="","",IF('1-Turizm Rehberliği'!F32="","",'1-Turizm Rehberliği'!F32))</f>
        <v/>
      </c>
      <c r="I35" s="28" t="str">
        <f aca="false">IF($A35="","",IF('1-Turizm Rehberliği'!G32="","",'1-Turizm Rehberliği'!G32))</f>
        <v/>
      </c>
      <c r="J35" s="28" t="str">
        <f aca="false">IF($A35="","",IF('1-Turizm Rehberliği'!H32="","",'1-Turizm Rehberliği'!H32))</f>
        <v/>
      </c>
      <c r="K35" s="28" t="str">
        <f aca="false">IF($A35="","",IF('1-Turizm Rehberliği'!I32="","",'1-Turizm Rehberliği'!I32))</f>
        <v/>
      </c>
      <c r="L35" s="28" t="str">
        <f aca="false">IF($I35="","",MATCH($I35,{"08.00";"09.00";"10.00";"11.00";"12.00";"13.00";"14.00";"15.00";"16.00";"17.00"},0))</f>
        <v/>
      </c>
      <c r="M35" s="28" t="str">
        <f aca="false">IF(OR($L35="",$J35=""),"",$L35+$J35-1)</f>
        <v/>
      </c>
      <c r="N35" s="28" t="str">
        <f aca="false">IF($A35="","",IF(OR($L35="",$M35=""),"",IF($M35&gt;10,"⚠ Saat Taşıyor","")))</f>
        <v/>
      </c>
      <c r="O35" s="28" t="str">
        <f aca="false">IF($A35="","",IF(OR($G35="",$H35="",$L35=""),"",IF(SUMPRODUCT(($A$7:$A$606&lt;&gt;"")*($G$7:$G$606=$G35)*($H$7:$H$606=$H35)*(ROW($A$7:$A$606)&lt;&gt;35)*($L$7:$L$606&lt;=$M35)*($M$7:$M$606&gt;=$L35))&gt;0,"⚠ Çakışma","OK")))</f>
        <v/>
      </c>
      <c r="P35" s="28" t="str">
        <f aca="false">IF($A35="","",IF(OR($K35="",$H35="",$L35=""),"",IF(SUMPRODUCT(($A$7:$A$606&lt;&gt;"")*($K$7:$K$606=$K35)*($H$7:$H$606=$H35)*(ROW($A$7:$A$606)&lt;&gt;35)*($L$7:$L$606&lt;=$M35)*($M$7:$M$606&gt;=$L35))&gt;0,"⚠ Çakışma","OK")))</f>
        <v/>
      </c>
      <c r="Q35" s="28" t="str">
        <f aca="false">IF($A35="","",IF(OR($E35="",$H35="",$L35=""),"",IF(SUMPRODUCT(($A$7:$A$606&lt;&gt;"")*($E$7:$E$606=$E35)*($H$7:$H$606=$H35)*(ROW($A$7:$A$606)&lt;&gt;35)*($L$7:$L$606&lt;=$M35)*($M$7:$M$606&gt;=$L35))&gt;0,"⚠ Çakışma","OK")))</f>
        <v/>
      </c>
      <c r="R35" s="28" t="str">
        <f aca="false">IF($A35="","",IF(OR($N35&lt;&gt;"",$O35="⚠ Çakışma",$P35="⚠ Çakışma",$Q35="⚠ Çakışma"),"⚠ Kontrol Et","✓ Uygun"))</f>
        <v/>
      </c>
    </row>
    <row r="36" customFormat="false" ht="13.5" hidden="false" customHeight="true" outlineLevel="0" collapsed="false">
      <c r="A36" s="28" t="str">
        <f aca="false">IF('1-Turizm Rehberliği'!A33="","","Turizm Rehberliği")</f>
        <v/>
      </c>
      <c r="B36" s="28" t="str">
        <f aca="false">IF($A36="","",IF('1-Turizm Rehberliği'!A33="","",'1-Turizm Rehberliği'!A33))</f>
        <v/>
      </c>
      <c r="C36" s="29" t="str">
        <f aca="false">IF($A36="","",IF('1-Turizm Rehberliği'!B33="","",'1-Turizm Rehberliği'!B33))</f>
        <v/>
      </c>
      <c r="D36" s="28" t="str">
        <f aca="false">IF($A36="","",IF('1-Turizm Rehberliği'!C33="","",'1-Turizm Rehberliği'!C33))</f>
        <v/>
      </c>
      <c r="E36" s="28" t="str">
        <f aca="false">IF($A36="","",$A36&amp;"-"&amp;$D36)</f>
        <v/>
      </c>
      <c r="F36" s="28" t="str">
        <f aca="false">IF($A36="","",IF('1-Turizm Rehberliği'!D33="","",'1-Turizm Rehberliği'!D33))</f>
        <v/>
      </c>
      <c r="G36" s="28" t="str">
        <f aca="false">IF($A36="","",IF('1-Turizm Rehberliği'!E33="","",'1-Turizm Rehberliği'!E33))</f>
        <v/>
      </c>
      <c r="H36" s="28" t="str">
        <f aca="false">IF($A36="","",IF('1-Turizm Rehberliği'!F33="","",'1-Turizm Rehberliği'!F33))</f>
        <v/>
      </c>
      <c r="I36" s="28" t="str">
        <f aca="false">IF($A36="","",IF('1-Turizm Rehberliği'!G33="","",'1-Turizm Rehberliği'!G33))</f>
        <v/>
      </c>
      <c r="J36" s="28" t="str">
        <f aca="false">IF($A36="","",IF('1-Turizm Rehberliği'!H33="","",'1-Turizm Rehberliği'!H33))</f>
        <v/>
      </c>
      <c r="K36" s="28" t="str">
        <f aca="false">IF($A36="","",IF('1-Turizm Rehberliği'!I33="","",'1-Turizm Rehberliği'!I33))</f>
        <v/>
      </c>
      <c r="L36" s="28" t="str">
        <f aca="false">IF($I36="","",MATCH($I36,{"08.00";"09.00";"10.00";"11.00";"12.00";"13.00";"14.00";"15.00";"16.00";"17.00"},0))</f>
        <v/>
      </c>
      <c r="M36" s="28" t="str">
        <f aca="false">IF(OR($L36="",$J36=""),"",$L36+$J36-1)</f>
        <v/>
      </c>
      <c r="N36" s="28" t="str">
        <f aca="false">IF($A36="","",IF(OR($L36="",$M36=""),"",IF($M36&gt;10,"⚠ Saat Taşıyor","")))</f>
        <v/>
      </c>
      <c r="O36" s="28" t="str">
        <f aca="false">IF($A36="","",IF(OR($G36="",$H36="",$L36=""),"",IF(SUMPRODUCT(($A$7:$A$606&lt;&gt;"")*($G$7:$G$606=$G36)*($H$7:$H$606=$H36)*(ROW($A$7:$A$606)&lt;&gt;36)*($L$7:$L$606&lt;=$M36)*($M$7:$M$606&gt;=$L36))&gt;0,"⚠ Çakışma","OK")))</f>
        <v/>
      </c>
      <c r="P36" s="28" t="str">
        <f aca="false">IF($A36="","",IF(OR($K36="",$H36="",$L36=""),"",IF(SUMPRODUCT(($A$7:$A$606&lt;&gt;"")*($K$7:$K$606=$K36)*($H$7:$H$606=$H36)*(ROW($A$7:$A$606)&lt;&gt;36)*($L$7:$L$606&lt;=$M36)*($M$7:$M$606&gt;=$L36))&gt;0,"⚠ Çakışma","OK")))</f>
        <v/>
      </c>
      <c r="Q36" s="28" t="str">
        <f aca="false">IF($A36="","",IF(OR($E36="",$H36="",$L36=""),"",IF(SUMPRODUCT(($A$7:$A$606&lt;&gt;"")*($E$7:$E$606=$E36)*($H$7:$H$606=$H36)*(ROW($A$7:$A$606)&lt;&gt;36)*($L$7:$L$606&lt;=$M36)*($M$7:$M$606&gt;=$L36))&gt;0,"⚠ Çakışma","OK")))</f>
        <v/>
      </c>
      <c r="R36" s="28" t="str">
        <f aca="false">IF($A36="","",IF(OR($N36&lt;&gt;"",$O36="⚠ Çakışma",$P36="⚠ Çakışma",$Q36="⚠ Çakışma"),"⚠ Kontrol Et","✓ Uygun"))</f>
        <v/>
      </c>
    </row>
    <row r="37" customFormat="false" ht="13.5" hidden="false" customHeight="true" outlineLevel="0" collapsed="false">
      <c r="A37" s="28" t="str">
        <f aca="false">IF('1-Turizm Rehberliği'!A34="","","Turizm Rehberliği")</f>
        <v/>
      </c>
      <c r="B37" s="28" t="str">
        <f aca="false">IF($A37="","",IF('1-Turizm Rehberliği'!A34="","",'1-Turizm Rehberliği'!A34))</f>
        <v/>
      </c>
      <c r="C37" s="29" t="str">
        <f aca="false">IF($A37="","",IF('1-Turizm Rehberliği'!B34="","",'1-Turizm Rehberliği'!B34))</f>
        <v/>
      </c>
      <c r="D37" s="28" t="str">
        <f aca="false">IF($A37="","",IF('1-Turizm Rehberliği'!C34="","",'1-Turizm Rehberliği'!C34))</f>
        <v/>
      </c>
      <c r="E37" s="28" t="str">
        <f aca="false">IF($A37="","",$A37&amp;"-"&amp;$D37)</f>
        <v/>
      </c>
      <c r="F37" s="28" t="str">
        <f aca="false">IF($A37="","",IF('1-Turizm Rehberliği'!D34="","",'1-Turizm Rehberliği'!D34))</f>
        <v/>
      </c>
      <c r="G37" s="28" t="str">
        <f aca="false">IF($A37="","",IF('1-Turizm Rehberliği'!E34="","",'1-Turizm Rehberliği'!E34))</f>
        <v/>
      </c>
      <c r="H37" s="28" t="str">
        <f aca="false">IF($A37="","",IF('1-Turizm Rehberliği'!F34="","",'1-Turizm Rehberliği'!F34))</f>
        <v/>
      </c>
      <c r="I37" s="28" t="str">
        <f aca="false">IF($A37="","",IF('1-Turizm Rehberliği'!G34="","",'1-Turizm Rehberliği'!G34))</f>
        <v/>
      </c>
      <c r="J37" s="28" t="str">
        <f aca="false">IF($A37="","",IF('1-Turizm Rehberliği'!H34="","",'1-Turizm Rehberliği'!H34))</f>
        <v/>
      </c>
      <c r="K37" s="28" t="str">
        <f aca="false">IF($A37="","",IF('1-Turizm Rehberliği'!I34="","",'1-Turizm Rehberliği'!I34))</f>
        <v/>
      </c>
      <c r="L37" s="28" t="str">
        <f aca="false">IF($I37="","",MATCH($I37,{"08.00";"09.00";"10.00";"11.00";"12.00";"13.00";"14.00";"15.00";"16.00";"17.00"},0))</f>
        <v/>
      </c>
      <c r="M37" s="28" t="str">
        <f aca="false">IF(OR($L37="",$J37=""),"",$L37+$J37-1)</f>
        <v/>
      </c>
      <c r="N37" s="28" t="str">
        <f aca="false">IF($A37="","",IF(OR($L37="",$M37=""),"",IF($M37&gt;10,"⚠ Saat Taşıyor","")))</f>
        <v/>
      </c>
      <c r="O37" s="28" t="str">
        <f aca="false">IF($A37="","",IF(OR($G37="",$H37="",$L37=""),"",IF(SUMPRODUCT(($A$7:$A$606&lt;&gt;"")*($G$7:$G$606=$G37)*($H$7:$H$606=$H37)*(ROW($A$7:$A$606)&lt;&gt;37)*($L$7:$L$606&lt;=$M37)*($M$7:$M$606&gt;=$L37))&gt;0,"⚠ Çakışma","OK")))</f>
        <v/>
      </c>
      <c r="P37" s="28" t="str">
        <f aca="false">IF($A37="","",IF(OR($K37="",$H37="",$L37=""),"",IF(SUMPRODUCT(($A$7:$A$606&lt;&gt;"")*($K$7:$K$606=$K37)*($H$7:$H$606=$H37)*(ROW($A$7:$A$606)&lt;&gt;37)*($L$7:$L$606&lt;=$M37)*($M$7:$M$606&gt;=$L37))&gt;0,"⚠ Çakışma","OK")))</f>
        <v/>
      </c>
      <c r="Q37" s="28" t="str">
        <f aca="false">IF($A37="","",IF(OR($E37="",$H37="",$L37=""),"",IF(SUMPRODUCT(($A$7:$A$606&lt;&gt;"")*($E$7:$E$606=$E37)*($H$7:$H$606=$H37)*(ROW($A$7:$A$606)&lt;&gt;37)*($L$7:$L$606&lt;=$M37)*($M$7:$M$606&gt;=$L37))&gt;0,"⚠ Çakışma","OK")))</f>
        <v/>
      </c>
      <c r="R37" s="28" t="str">
        <f aca="false">IF($A37="","",IF(OR($N37&lt;&gt;"",$O37="⚠ Çakışma",$P37="⚠ Çakışma",$Q37="⚠ Çakışma"),"⚠ Kontrol Et","✓ Uygun"))</f>
        <v/>
      </c>
    </row>
    <row r="38" customFormat="false" ht="13.5" hidden="false" customHeight="true" outlineLevel="0" collapsed="false">
      <c r="A38" s="28" t="str">
        <f aca="false">IF('1-Turizm Rehberliği'!A35="","","Turizm Rehberliği")</f>
        <v/>
      </c>
      <c r="B38" s="28" t="str">
        <f aca="false">IF($A38="","",IF('1-Turizm Rehberliği'!A35="","",'1-Turizm Rehberliği'!A35))</f>
        <v/>
      </c>
      <c r="C38" s="29" t="str">
        <f aca="false">IF($A38="","",IF('1-Turizm Rehberliği'!B35="","",'1-Turizm Rehberliği'!B35))</f>
        <v/>
      </c>
      <c r="D38" s="28" t="str">
        <f aca="false">IF($A38="","",IF('1-Turizm Rehberliği'!C35="","",'1-Turizm Rehberliği'!C35))</f>
        <v/>
      </c>
      <c r="E38" s="28" t="str">
        <f aca="false">IF($A38="","",$A38&amp;"-"&amp;$D38)</f>
        <v/>
      </c>
      <c r="F38" s="28" t="str">
        <f aca="false">IF($A38="","",IF('1-Turizm Rehberliği'!D35="","",'1-Turizm Rehberliği'!D35))</f>
        <v/>
      </c>
      <c r="G38" s="28" t="str">
        <f aca="false">IF($A38="","",IF('1-Turizm Rehberliği'!E35="","",'1-Turizm Rehberliği'!E35))</f>
        <v/>
      </c>
      <c r="H38" s="28" t="str">
        <f aca="false">IF($A38="","",IF('1-Turizm Rehberliği'!F35="","",'1-Turizm Rehberliği'!F35))</f>
        <v/>
      </c>
      <c r="I38" s="28" t="str">
        <f aca="false">IF($A38="","",IF('1-Turizm Rehberliği'!G35="","",'1-Turizm Rehberliği'!G35))</f>
        <v/>
      </c>
      <c r="J38" s="28" t="str">
        <f aca="false">IF($A38="","",IF('1-Turizm Rehberliği'!H35="","",'1-Turizm Rehberliği'!H35))</f>
        <v/>
      </c>
      <c r="K38" s="28" t="str">
        <f aca="false">IF($A38="","",IF('1-Turizm Rehberliği'!I35="","",'1-Turizm Rehberliği'!I35))</f>
        <v/>
      </c>
      <c r="L38" s="28" t="str">
        <f aca="false">IF($I38="","",MATCH($I38,{"08.00";"09.00";"10.00";"11.00";"12.00";"13.00";"14.00";"15.00";"16.00";"17.00"},0))</f>
        <v/>
      </c>
      <c r="M38" s="28" t="str">
        <f aca="false">IF(OR($L38="",$J38=""),"",$L38+$J38-1)</f>
        <v/>
      </c>
      <c r="N38" s="28" t="str">
        <f aca="false">IF($A38="","",IF(OR($L38="",$M38=""),"",IF($M38&gt;10,"⚠ Saat Taşıyor","")))</f>
        <v/>
      </c>
      <c r="O38" s="28" t="str">
        <f aca="false">IF($A38="","",IF(OR($G38="",$H38="",$L38=""),"",IF(SUMPRODUCT(($A$7:$A$606&lt;&gt;"")*($G$7:$G$606=$G38)*($H$7:$H$606=$H38)*(ROW($A$7:$A$606)&lt;&gt;38)*($L$7:$L$606&lt;=$M38)*($M$7:$M$606&gt;=$L38))&gt;0,"⚠ Çakışma","OK")))</f>
        <v/>
      </c>
      <c r="P38" s="28" t="str">
        <f aca="false">IF($A38="","",IF(OR($K38="",$H38="",$L38=""),"",IF(SUMPRODUCT(($A$7:$A$606&lt;&gt;"")*($K$7:$K$606=$K38)*($H$7:$H$606=$H38)*(ROW($A$7:$A$606)&lt;&gt;38)*($L$7:$L$606&lt;=$M38)*($M$7:$M$606&gt;=$L38))&gt;0,"⚠ Çakışma","OK")))</f>
        <v/>
      </c>
      <c r="Q38" s="28" t="str">
        <f aca="false">IF($A38="","",IF(OR($E38="",$H38="",$L38=""),"",IF(SUMPRODUCT(($A$7:$A$606&lt;&gt;"")*($E$7:$E$606=$E38)*($H$7:$H$606=$H38)*(ROW($A$7:$A$606)&lt;&gt;38)*($L$7:$L$606&lt;=$M38)*($M$7:$M$606&gt;=$L38))&gt;0,"⚠ Çakışma","OK")))</f>
        <v/>
      </c>
      <c r="R38" s="28" t="str">
        <f aca="false">IF($A38="","",IF(OR($N38&lt;&gt;"",$O38="⚠ Çakışma",$P38="⚠ Çakışma",$Q38="⚠ Çakışma"),"⚠ Kontrol Et","✓ Uygun"))</f>
        <v/>
      </c>
    </row>
    <row r="39" customFormat="false" ht="13.5" hidden="false" customHeight="true" outlineLevel="0" collapsed="false">
      <c r="A39" s="28" t="str">
        <f aca="false">IF('1-Turizm Rehberliği'!A36="","","Turizm Rehberliği")</f>
        <v/>
      </c>
      <c r="B39" s="28" t="str">
        <f aca="false">IF($A39="","",IF('1-Turizm Rehberliği'!A36="","",'1-Turizm Rehberliği'!A36))</f>
        <v/>
      </c>
      <c r="C39" s="29" t="str">
        <f aca="false">IF($A39="","",IF('1-Turizm Rehberliği'!B36="","",'1-Turizm Rehberliği'!B36))</f>
        <v/>
      </c>
      <c r="D39" s="28" t="str">
        <f aca="false">IF($A39="","",IF('1-Turizm Rehberliği'!C36="","",'1-Turizm Rehberliği'!C36))</f>
        <v/>
      </c>
      <c r="E39" s="28" t="str">
        <f aca="false">IF($A39="","",$A39&amp;"-"&amp;$D39)</f>
        <v/>
      </c>
      <c r="F39" s="28" t="str">
        <f aca="false">IF($A39="","",IF('1-Turizm Rehberliği'!D36="","",'1-Turizm Rehberliği'!D36))</f>
        <v/>
      </c>
      <c r="G39" s="28" t="str">
        <f aca="false">IF($A39="","",IF('1-Turizm Rehberliği'!E36="","",'1-Turizm Rehberliği'!E36))</f>
        <v/>
      </c>
      <c r="H39" s="28" t="str">
        <f aca="false">IF($A39="","",IF('1-Turizm Rehberliği'!F36="","",'1-Turizm Rehberliği'!F36))</f>
        <v/>
      </c>
      <c r="I39" s="28" t="str">
        <f aca="false">IF($A39="","",IF('1-Turizm Rehberliği'!G36="","",'1-Turizm Rehberliği'!G36))</f>
        <v/>
      </c>
      <c r="J39" s="28" t="str">
        <f aca="false">IF($A39="","",IF('1-Turizm Rehberliği'!H36="","",'1-Turizm Rehberliği'!H36))</f>
        <v/>
      </c>
      <c r="K39" s="28" t="str">
        <f aca="false">IF($A39="","",IF('1-Turizm Rehberliği'!I36="","",'1-Turizm Rehberliği'!I36))</f>
        <v/>
      </c>
      <c r="L39" s="28" t="str">
        <f aca="false">IF($I39="","",MATCH($I39,{"08.00";"09.00";"10.00";"11.00";"12.00";"13.00";"14.00";"15.00";"16.00";"17.00"},0))</f>
        <v/>
      </c>
      <c r="M39" s="28" t="str">
        <f aca="false">IF(OR($L39="",$J39=""),"",$L39+$J39-1)</f>
        <v/>
      </c>
      <c r="N39" s="28" t="str">
        <f aca="false">IF($A39="","",IF(OR($L39="",$M39=""),"",IF($M39&gt;10,"⚠ Saat Taşıyor","")))</f>
        <v/>
      </c>
      <c r="O39" s="28" t="str">
        <f aca="false">IF($A39="","",IF(OR($G39="",$H39="",$L39=""),"",IF(SUMPRODUCT(($A$7:$A$606&lt;&gt;"")*($G$7:$G$606=$G39)*($H$7:$H$606=$H39)*(ROW($A$7:$A$606)&lt;&gt;39)*($L$7:$L$606&lt;=$M39)*($M$7:$M$606&gt;=$L39))&gt;0,"⚠ Çakışma","OK")))</f>
        <v/>
      </c>
      <c r="P39" s="28" t="str">
        <f aca="false">IF($A39="","",IF(OR($K39="",$H39="",$L39=""),"",IF(SUMPRODUCT(($A$7:$A$606&lt;&gt;"")*($K$7:$K$606=$K39)*($H$7:$H$606=$H39)*(ROW($A$7:$A$606)&lt;&gt;39)*($L$7:$L$606&lt;=$M39)*($M$7:$M$606&gt;=$L39))&gt;0,"⚠ Çakışma","OK")))</f>
        <v/>
      </c>
      <c r="Q39" s="28" t="str">
        <f aca="false">IF($A39="","",IF(OR($E39="",$H39="",$L39=""),"",IF(SUMPRODUCT(($A$7:$A$606&lt;&gt;"")*($E$7:$E$606=$E39)*($H$7:$H$606=$H39)*(ROW($A$7:$A$606)&lt;&gt;39)*($L$7:$L$606&lt;=$M39)*($M$7:$M$606&gt;=$L39))&gt;0,"⚠ Çakışma","OK")))</f>
        <v/>
      </c>
      <c r="R39" s="28" t="str">
        <f aca="false">IF($A39="","",IF(OR($N39&lt;&gt;"",$O39="⚠ Çakışma",$P39="⚠ Çakışma",$Q39="⚠ Çakışma"),"⚠ Kontrol Et","✓ Uygun"))</f>
        <v/>
      </c>
    </row>
    <row r="40" customFormat="false" ht="13.5" hidden="false" customHeight="true" outlineLevel="0" collapsed="false">
      <c r="A40" s="28" t="str">
        <f aca="false">IF('1-Turizm Rehberliği'!A37="","","Turizm Rehberliği")</f>
        <v/>
      </c>
      <c r="B40" s="28" t="str">
        <f aca="false">IF($A40="","",IF('1-Turizm Rehberliği'!A37="","",'1-Turizm Rehberliği'!A37))</f>
        <v/>
      </c>
      <c r="C40" s="29" t="str">
        <f aca="false">IF($A40="","",IF('1-Turizm Rehberliği'!B37="","",'1-Turizm Rehberliği'!B37))</f>
        <v/>
      </c>
      <c r="D40" s="28" t="str">
        <f aca="false">IF($A40="","",IF('1-Turizm Rehberliği'!C37="","",'1-Turizm Rehberliği'!C37))</f>
        <v/>
      </c>
      <c r="E40" s="28" t="str">
        <f aca="false">IF($A40="","",$A40&amp;"-"&amp;$D40)</f>
        <v/>
      </c>
      <c r="F40" s="28" t="str">
        <f aca="false">IF($A40="","",IF('1-Turizm Rehberliği'!D37="","",'1-Turizm Rehberliği'!D37))</f>
        <v/>
      </c>
      <c r="G40" s="28" t="str">
        <f aca="false">IF($A40="","",IF('1-Turizm Rehberliği'!E37="","",'1-Turizm Rehberliği'!E37))</f>
        <v/>
      </c>
      <c r="H40" s="28" t="str">
        <f aca="false">IF($A40="","",IF('1-Turizm Rehberliği'!F37="","",'1-Turizm Rehberliği'!F37))</f>
        <v/>
      </c>
      <c r="I40" s="28" t="str">
        <f aca="false">IF($A40="","",IF('1-Turizm Rehberliği'!G37="","",'1-Turizm Rehberliği'!G37))</f>
        <v/>
      </c>
      <c r="J40" s="28" t="str">
        <f aca="false">IF($A40="","",IF('1-Turizm Rehberliği'!H37="","",'1-Turizm Rehberliği'!H37))</f>
        <v/>
      </c>
      <c r="K40" s="28" t="str">
        <f aca="false">IF($A40="","",IF('1-Turizm Rehberliği'!I37="","",'1-Turizm Rehberliği'!I37))</f>
        <v/>
      </c>
      <c r="L40" s="28" t="str">
        <f aca="false">IF($I40="","",MATCH($I40,{"08.00";"09.00";"10.00";"11.00";"12.00";"13.00";"14.00";"15.00";"16.00";"17.00"},0))</f>
        <v/>
      </c>
      <c r="M40" s="28" t="str">
        <f aca="false">IF(OR($L40="",$J40=""),"",$L40+$J40-1)</f>
        <v/>
      </c>
      <c r="N40" s="28" t="str">
        <f aca="false">IF($A40="","",IF(OR($L40="",$M40=""),"",IF($M40&gt;10,"⚠ Saat Taşıyor","")))</f>
        <v/>
      </c>
      <c r="O40" s="28" t="str">
        <f aca="false">IF($A40="","",IF(OR($G40="",$H40="",$L40=""),"",IF(SUMPRODUCT(($A$7:$A$606&lt;&gt;"")*($G$7:$G$606=$G40)*($H$7:$H$606=$H40)*(ROW($A$7:$A$606)&lt;&gt;40)*($L$7:$L$606&lt;=$M40)*($M$7:$M$606&gt;=$L40))&gt;0,"⚠ Çakışma","OK")))</f>
        <v/>
      </c>
      <c r="P40" s="28" t="str">
        <f aca="false">IF($A40="","",IF(OR($K40="",$H40="",$L40=""),"",IF(SUMPRODUCT(($A$7:$A$606&lt;&gt;"")*($K$7:$K$606=$K40)*($H$7:$H$606=$H40)*(ROW($A$7:$A$606)&lt;&gt;40)*($L$7:$L$606&lt;=$M40)*($M$7:$M$606&gt;=$L40))&gt;0,"⚠ Çakışma","OK")))</f>
        <v/>
      </c>
      <c r="Q40" s="28" t="str">
        <f aca="false">IF($A40="","",IF(OR($E40="",$H40="",$L40=""),"",IF(SUMPRODUCT(($A$7:$A$606&lt;&gt;"")*($E$7:$E$606=$E40)*($H$7:$H$606=$H40)*(ROW($A$7:$A$606)&lt;&gt;40)*($L$7:$L$606&lt;=$M40)*($M$7:$M$606&gt;=$L40))&gt;0,"⚠ Çakışma","OK")))</f>
        <v/>
      </c>
      <c r="R40" s="28" t="str">
        <f aca="false">IF($A40="","",IF(OR($N40&lt;&gt;"",$O40="⚠ Çakışma",$P40="⚠ Çakışma",$Q40="⚠ Çakışma"),"⚠ Kontrol Et","✓ Uygun"))</f>
        <v/>
      </c>
    </row>
    <row r="41" customFormat="false" ht="13.5" hidden="false" customHeight="true" outlineLevel="0" collapsed="false">
      <c r="A41" s="28" t="str">
        <f aca="false">IF('1-Turizm Rehberliği'!A38="","","Turizm Rehberliği")</f>
        <v/>
      </c>
      <c r="B41" s="28" t="str">
        <f aca="false">IF($A41="","",IF('1-Turizm Rehberliği'!A38="","",'1-Turizm Rehberliği'!A38))</f>
        <v/>
      </c>
      <c r="C41" s="29" t="str">
        <f aca="false">IF($A41="","",IF('1-Turizm Rehberliği'!B38="","",'1-Turizm Rehberliği'!B38))</f>
        <v/>
      </c>
      <c r="D41" s="28" t="str">
        <f aca="false">IF($A41="","",IF('1-Turizm Rehberliği'!C38="","",'1-Turizm Rehberliği'!C38))</f>
        <v/>
      </c>
      <c r="E41" s="28" t="str">
        <f aca="false">IF($A41="","",$A41&amp;"-"&amp;$D41)</f>
        <v/>
      </c>
      <c r="F41" s="28" t="str">
        <f aca="false">IF($A41="","",IF('1-Turizm Rehberliği'!D38="","",'1-Turizm Rehberliği'!D38))</f>
        <v/>
      </c>
      <c r="G41" s="28" t="str">
        <f aca="false">IF($A41="","",IF('1-Turizm Rehberliği'!E38="","",'1-Turizm Rehberliği'!E38))</f>
        <v/>
      </c>
      <c r="H41" s="28" t="str">
        <f aca="false">IF($A41="","",IF('1-Turizm Rehberliği'!F38="","",'1-Turizm Rehberliği'!F38))</f>
        <v/>
      </c>
      <c r="I41" s="28" t="str">
        <f aca="false">IF($A41="","",IF('1-Turizm Rehberliği'!G38="","",'1-Turizm Rehberliği'!G38))</f>
        <v/>
      </c>
      <c r="J41" s="28" t="str">
        <f aca="false">IF($A41="","",IF('1-Turizm Rehberliği'!H38="","",'1-Turizm Rehberliği'!H38))</f>
        <v/>
      </c>
      <c r="K41" s="28" t="str">
        <f aca="false">IF($A41="","",IF('1-Turizm Rehberliği'!I38="","",'1-Turizm Rehberliği'!I38))</f>
        <v/>
      </c>
      <c r="L41" s="28" t="str">
        <f aca="false">IF($I41="","",MATCH($I41,{"08.00";"09.00";"10.00";"11.00";"12.00";"13.00";"14.00";"15.00";"16.00";"17.00"},0))</f>
        <v/>
      </c>
      <c r="M41" s="28" t="str">
        <f aca="false">IF(OR($L41="",$J41=""),"",$L41+$J41-1)</f>
        <v/>
      </c>
      <c r="N41" s="28" t="str">
        <f aca="false">IF($A41="","",IF(OR($L41="",$M41=""),"",IF($M41&gt;10,"⚠ Saat Taşıyor","")))</f>
        <v/>
      </c>
      <c r="O41" s="28" t="str">
        <f aca="false">IF($A41="","",IF(OR($G41="",$H41="",$L41=""),"",IF(SUMPRODUCT(($A$7:$A$606&lt;&gt;"")*($G$7:$G$606=$G41)*($H$7:$H$606=$H41)*(ROW($A$7:$A$606)&lt;&gt;41)*($L$7:$L$606&lt;=$M41)*($M$7:$M$606&gt;=$L41))&gt;0,"⚠ Çakışma","OK")))</f>
        <v/>
      </c>
      <c r="P41" s="28" t="str">
        <f aca="false">IF($A41="","",IF(OR($K41="",$H41="",$L41=""),"",IF(SUMPRODUCT(($A$7:$A$606&lt;&gt;"")*($K$7:$K$606=$K41)*($H$7:$H$606=$H41)*(ROW($A$7:$A$606)&lt;&gt;41)*($L$7:$L$606&lt;=$M41)*($M$7:$M$606&gt;=$L41))&gt;0,"⚠ Çakışma","OK")))</f>
        <v/>
      </c>
      <c r="Q41" s="28" t="str">
        <f aca="false">IF($A41="","",IF(OR($E41="",$H41="",$L41=""),"",IF(SUMPRODUCT(($A$7:$A$606&lt;&gt;"")*($E$7:$E$606=$E41)*($H$7:$H$606=$H41)*(ROW($A$7:$A$606)&lt;&gt;41)*($L$7:$L$606&lt;=$M41)*($M$7:$M$606&gt;=$L41))&gt;0,"⚠ Çakışma","OK")))</f>
        <v/>
      </c>
      <c r="R41" s="28" t="str">
        <f aca="false">IF($A41="","",IF(OR($N41&lt;&gt;"",$O41="⚠ Çakışma",$P41="⚠ Çakışma",$Q41="⚠ Çakışma"),"⚠ Kontrol Et","✓ Uygun"))</f>
        <v/>
      </c>
    </row>
    <row r="42" customFormat="false" ht="13.5" hidden="false" customHeight="true" outlineLevel="0" collapsed="false">
      <c r="A42" s="28" t="str">
        <f aca="false">IF('1-Turizm Rehberliği'!A39="","","Turizm Rehberliği")</f>
        <v/>
      </c>
      <c r="B42" s="28" t="str">
        <f aca="false">IF($A42="","",IF('1-Turizm Rehberliği'!A39="","",'1-Turizm Rehberliği'!A39))</f>
        <v/>
      </c>
      <c r="C42" s="29" t="str">
        <f aca="false">IF($A42="","",IF('1-Turizm Rehberliği'!B39="","",'1-Turizm Rehberliği'!B39))</f>
        <v/>
      </c>
      <c r="D42" s="28" t="str">
        <f aca="false">IF($A42="","",IF('1-Turizm Rehberliği'!C39="","",'1-Turizm Rehberliği'!C39))</f>
        <v/>
      </c>
      <c r="E42" s="28" t="str">
        <f aca="false">IF($A42="","",$A42&amp;"-"&amp;$D42)</f>
        <v/>
      </c>
      <c r="F42" s="28" t="str">
        <f aca="false">IF($A42="","",IF('1-Turizm Rehberliği'!D39="","",'1-Turizm Rehberliği'!D39))</f>
        <v/>
      </c>
      <c r="G42" s="28" t="str">
        <f aca="false">IF($A42="","",IF('1-Turizm Rehberliği'!E39="","",'1-Turizm Rehberliği'!E39))</f>
        <v/>
      </c>
      <c r="H42" s="28" t="str">
        <f aca="false">IF($A42="","",IF('1-Turizm Rehberliği'!F39="","",'1-Turizm Rehberliği'!F39))</f>
        <v/>
      </c>
      <c r="I42" s="28" t="str">
        <f aca="false">IF($A42="","",IF('1-Turizm Rehberliği'!G39="","",'1-Turizm Rehberliği'!G39))</f>
        <v/>
      </c>
      <c r="J42" s="28" t="str">
        <f aca="false">IF($A42="","",IF('1-Turizm Rehberliği'!H39="","",'1-Turizm Rehberliği'!H39))</f>
        <v/>
      </c>
      <c r="K42" s="28" t="str">
        <f aca="false">IF($A42="","",IF('1-Turizm Rehberliği'!I39="","",'1-Turizm Rehberliği'!I39))</f>
        <v/>
      </c>
      <c r="L42" s="28" t="str">
        <f aca="false">IF($I42="","",MATCH($I42,{"08.00";"09.00";"10.00";"11.00";"12.00";"13.00";"14.00";"15.00";"16.00";"17.00"},0))</f>
        <v/>
      </c>
      <c r="M42" s="28" t="str">
        <f aca="false">IF(OR($L42="",$J42=""),"",$L42+$J42-1)</f>
        <v/>
      </c>
      <c r="N42" s="28" t="str">
        <f aca="false">IF($A42="","",IF(OR($L42="",$M42=""),"",IF($M42&gt;10,"⚠ Saat Taşıyor","")))</f>
        <v/>
      </c>
      <c r="O42" s="28" t="str">
        <f aca="false">IF($A42="","",IF(OR($G42="",$H42="",$L42=""),"",IF(SUMPRODUCT(($A$7:$A$606&lt;&gt;"")*($G$7:$G$606=$G42)*($H$7:$H$606=$H42)*(ROW($A$7:$A$606)&lt;&gt;42)*($L$7:$L$606&lt;=$M42)*($M$7:$M$606&gt;=$L42))&gt;0,"⚠ Çakışma","OK")))</f>
        <v/>
      </c>
      <c r="P42" s="28" t="str">
        <f aca="false">IF($A42="","",IF(OR($K42="",$H42="",$L42=""),"",IF(SUMPRODUCT(($A$7:$A$606&lt;&gt;"")*($K$7:$K$606=$K42)*($H$7:$H$606=$H42)*(ROW($A$7:$A$606)&lt;&gt;42)*($L$7:$L$606&lt;=$M42)*($M$7:$M$606&gt;=$L42))&gt;0,"⚠ Çakışma","OK")))</f>
        <v/>
      </c>
      <c r="Q42" s="28" t="str">
        <f aca="false">IF($A42="","",IF(OR($E42="",$H42="",$L42=""),"",IF(SUMPRODUCT(($A$7:$A$606&lt;&gt;"")*($E$7:$E$606=$E42)*($H$7:$H$606=$H42)*(ROW($A$7:$A$606)&lt;&gt;42)*($L$7:$L$606&lt;=$M42)*($M$7:$M$606&gt;=$L42))&gt;0,"⚠ Çakışma","OK")))</f>
        <v/>
      </c>
      <c r="R42" s="28" t="str">
        <f aca="false">IF($A42="","",IF(OR($N42&lt;&gt;"",$O42="⚠ Çakışma",$P42="⚠ Çakışma",$Q42="⚠ Çakışma"),"⚠ Kontrol Et","✓ Uygun"))</f>
        <v/>
      </c>
    </row>
    <row r="43" customFormat="false" ht="13.5" hidden="false" customHeight="true" outlineLevel="0" collapsed="false">
      <c r="A43" s="28" t="str">
        <f aca="false">IF('1-Turizm Rehberliği'!A40="","","Turizm Rehberliği")</f>
        <v/>
      </c>
      <c r="B43" s="28" t="str">
        <f aca="false">IF($A43="","",IF('1-Turizm Rehberliği'!A40="","",'1-Turizm Rehberliği'!A40))</f>
        <v/>
      </c>
      <c r="C43" s="29" t="str">
        <f aca="false">IF($A43="","",IF('1-Turizm Rehberliği'!B40="","",'1-Turizm Rehberliği'!B40))</f>
        <v/>
      </c>
      <c r="D43" s="28" t="str">
        <f aca="false">IF($A43="","",IF('1-Turizm Rehberliği'!C40="","",'1-Turizm Rehberliği'!C40))</f>
        <v/>
      </c>
      <c r="E43" s="28" t="str">
        <f aca="false">IF($A43="","",$A43&amp;"-"&amp;$D43)</f>
        <v/>
      </c>
      <c r="F43" s="28" t="str">
        <f aca="false">IF($A43="","",IF('1-Turizm Rehberliği'!D40="","",'1-Turizm Rehberliği'!D40))</f>
        <v/>
      </c>
      <c r="G43" s="28" t="str">
        <f aca="false">IF($A43="","",IF('1-Turizm Rehberliği'!E40="","",'1-Turizm Rehberliği'!E40))</f>
        <v/>
      </c>
      <c r="H43" s="28" t="str">
        <f aca="false">IF($A43="","",IF('1-Turizm Rehberliği'!F40="","",'1-Turizm Rehberliği'!F40))</f>
        <v/>
      </c>
      <c r="I43" s="28" t="str">
        <f aca="false">IF($A43="","",IF('1-Turizm Rehberliği'!G40="","",'1-Turizm Rehberliği'!G40))</f>
        <v/>
      </c>
      <c r="J43" s="28" t="str">
        <f aca="false">IF($A43="","",IF('1-Turizm Rehberliği'!H40="","",'1-Turizm Rehberliği'!H40))</f>
        <v/>
      </c>
      <c r="K43" s="28" t="str">
        <f aca="false">IF($A43="","",IF('1-Turizm Rehberliği'!I40="","",'1-Turizm Rehberliği'!I40))</f>
        <v/>
      </c>
      <c r="L43" s="28" t="str">
        <f aca="false">IF($I43="","",MATCH($I43,{"08.00";"09.00";"10.00";"11.00";"12.00";"13.00";"14.00";"15.00";"16.00";"17.00"},0))</f>
        <v/>
      </c>
      <c r="M43" s="28" t="str">
        <f aca="false">IF(OR($L43="",$J43=""),"",$L43+$J43-1)</f>
        <v/>
      </c>
      <c r="N43" s="28" t="str">
        <f aca="false">IF($A43="","",IF(OR($L43="",$M43=""),"",IF($M43&gt;10,"⚠ Saat Taşıyor","")))</f>
        <v/>
      </c>
      <c r="O43" s="28" t="str">
        <f aca="false">IF($A43="","",IF(OR($G43="",$H43="",$L43=""),"",IF(SUMPRODUCT(($A$7:$A$606&lt;&gt;"")*($G$7:$G$606=$G43)*($H$7:$H$606=$H43)*(ROW($A$7:$A$606)&lt;&gt;43)*($L$7:$L$606&lt;=$M43)*($M$7:$M$606&gt;=$L43))&gt;0,"⚠ Çakışma","OK")))</f>
        <v/>
      </c>
      <c r="P43" s="28" t="str">
        <f aca="false">IF($A43="","",IF(OR($K43="",$H43="",$L43=""),"",IF(SUMPRODUCT(($A$7:$A$606&lt;&gt;"")*($K$7:$K$606=$K43)*($H$7:$H$606=$H43)*(ROW($A$7:$A$606)&lt;&gt;43)*($L$7:$L$606&lt;=$M43)*($M$7:$M$606&gt;=$L43))&gt;0,"⚠ Çakışma","OK")))</f>
        <v/>
      </c>
      <c r="Q43" s="28" t="str">
        <f aca="false">IF($A43="","",IF(OR($E43="",$H43="",$L43=""),"",IF(SUMPRODUCT(($A$7:$A$606&lt;&gt;"")*($E$7:$E$606=$E43)*($H$7:$H$606=$H43)*(ROW($A$7:$A$606)&lt;&gt;43)*($L$7:$L$606&lt;=$M43)*($M$7:$M$606&gt;=$L43))&gt;0,"⚠ Çakışma","OK")))</f>
        <v/>
      </c>
      <c r="R43" s="28" t="str">
        <f aca="false">IF($A43="","",IF(OR($N43&lt;&gt;"",$O43="⚠ Çakışma",$P43="⚠ Çakışma",$Q43="⚠ Çakışma"),"⚠ Kontrol Et","✓ Uygun"))</f>
        <v/>
      </c>
    </row>
    <row r="44" customFormat="false" ht="13.5" hidden="false" customHeight="true" outlineLevel="0" collapsed="false">
      <c r="A44" s="28" t="str">
        <f aca="false">IF('1-Turizm Rehberliği'!A41="","","Turizm Rehberliği")</f>
        <v/>
      </c>
      <c r="B44" s="28" t="str">
        <f aca="false">IF($A44="","",IF('1-Turizm Rehberliği'!A41="","",'1-Turizm Rehberliği'!A41))</f>
        <v/>
      </c>
      <c r="C44" s="29" t="str">
        <f aca="false">IF($A44="","",IF('1-Turizm Rehberliği'!B41="","",'1-Turizm Rehberliği'!B41))</f>
        <v/>
      </c>
      <c r="D44" s="28" t="str">
        <f aca="false">IF($A44="","",IF('1-Turizm Rehberliği'!C41="","",'1-Turizm Rehberliği'!C41))</f>
        <v/>
      </c>
      <c r="E44" s="28" t="str">
        <f aca="false">IF($A44="","",$A44&amp;"-"&amp;$D44)</f>
        <v/>
      </c>
      <c r="F44" s="28" t="str">
        <f aca="false">IF($A44="","",IF('1-Turizm Rehberliği'!D41="","",'1-Turizm Rehberliği'!D41))</f>
        <v/>
      </c>
      <c r="G44" s="28" t="str">
        <f aca="false">IF($A44="","",IF('1-Turizm Rehberliği'!E41="","",'1-Turizm Rehberliği'!E41))</f>
        <v/>
      </c>
      <c r="H44" s="28" t="str">
        <f aca="false">IF($A44="","",IF('1-Turizm Rehberliği'!F41="","",'1-Turizm Rehberliği'!F41))</f>
        <v/>
      </c>
      <c r="I44" s="28" t="str">
        <f aca="false">IF($A44="","",IF('1-Turizm Rehberliği'!G41="","",'1-Turizm Rehberliği'!G41))</f>
        <v/>
      </c>
      <c r="J44" s="28" t="str">
        <f aca="false">IF($A44="","",IF('1-Turizm Rehberliği'!H41="","",'1-Turizm Rehberliği'!H41))</f>
        <v/>
      </c>
      <c r="K44" s="28" t="str">
        <f aca="false">IF($A44="","",IF('1-Turizm Rehberliği'!I41="","",'1-Turizm Rehberliği'!I41))</f>
        <v/>
      </c>
      <c r="L44" s="28" t="str">
        <f aca="false">IF($I44="","",MATCH($I44,{"08.00";"09.00";"10.00";"11.00";"12.00";"13.00";"14.00";"15.00";"16.00";"17.00"},0))</f>
        <v/>
      </c>
      <c r="M44" s="28" t="str">
        <f aca="false">IF(OR($L44="",$J44=""),"",$L44+$J44-1)</f>
        <v/>
      </c>
      <c r="N44" s="28" t="str">
        <f aca="false">IF($A44="","",IF(OR($L44="",$M44=""),"",IF($M44&gt;10,"⚠ Saat Taşıyor","")))</f>
        <v/>
      </c>
      <c r="O44" s="28" t="str">
        <f aca="false">IF($A44="","",IF(OR($G44="",$H44="",$L44=""),"",IF(SUMPRODUCT(($A$7:$A$606&lt;&gt;"")*($G$7:$G$606=$G44)*($H$7:$H$606=$H44)*(ROW($A$7:$A$606)&lt;&gt;44)*($L$7:$L$606&lt;=$M44)*($M$7:$M$606&gt;=$L44))&gt;0,"⚠ Çakışma","OK")))</f>
        <v/>
      </c>
      <c r="P44" s="28" t="str">
        <f aca="false">IF($A44="","",IF(OR($K44="",$H44="",$L44=""),"",IF(SUMPRODUCT(($A$7:$A$606&lt;&gt;"")*($K$7:$K$606=$K44)*($H$7:$H$606=$H44)*(ROW($A$7:$A$606)&lt;&gt;44)*($L$7:$L$606&lt;=$M44)*($M$7:$M$606&gt;=$L44))&gt;0,"⚠ Çakışma","OK")))</f>
        <v/>
      </c>
      <c r="Q44" s="28" t="str">
        <f aca="false">IF($A44="","",IF(OR($E44="",$H44="",$L44=""),"",IF(SUMPRODUCT(($A$7:$A$606&lt;&gt;"")*($E$7:$E$606=$E44)*($H$7:$H$606=$H44)*(ROW($A$7:$A$606)&lt;&gt;44)*($L$7:$L$606&lt;=$M44)*($M$7:$M$606&gt;=$L44))&gt;0,"⚠ Çakışma","OK")))</f>
        <v/>
      </c>
      <c r="R44" s="28" t="str">
        <f aca="false">IF($A44="","",IF(OR($N44&lt;&gt;"",$O44="⚠ Çakışma",$P44="⚠ Çakışma",$Q44="⚠ Çakışma"),"⚠ Kontrol Et","✓ Uygun"))</f>
        <v/>
      </c>
    </row>
    <row r="45" customFormat="false" ht="13.5" hidden="false" customHeight="true" outlineLevel="0" collapsed="false">
      <c r="A45" s="28" t="str">
        <f aca="false">IF('1-Turizm Rehberliği'!A42="","","Turizm Rehberliği")</f>
        <v/>
      </c>
      <c r="B45" s="28" t="str">
        <f aca="false">IF($A45="","",IF('1-Turizm Rehberliği'!A42="","",'1-Turizm Rehberliği'!A42))</f>
        <v/>
      </c>
      <c r="C45" s="29" t="str">
        <f aca="false">IF($A45="","",IF('1-Turizm Rehberliği'!B42="","",'1-Turizm Rehberliği'!B42))</f>
        <v/>
      </c>
      <c r="D45" s="28" t="str">
        <f aca="false">IF($A45="","",IF('1-Turizm Rehberliği'!C42="","",'1-Turizm Rehberliği'!C42))</f>
        <v/>
      </c>
      <c r="E45" s="28" t="str">
        <f aca="false">IF($A45="","",$A45&amp;"-"&amp;$D45)</f>
        <v/>
      </c>
      <c r="F45" s="28" t="str">
        <f aca="false">IF($A45="","",IF('1-Turizm Rehberliği'!D42="","",'1-Turizm Rehberliği'!D42))</f>
        <v/>
      </c>
      <c r="G45" s="28" t="str">
        <f aca="false">IF($A45="","",IF('1-Turizm Rehberliği'!E42="","",'1-Turizm Rehberliği'!E42))</f>
        <v/>
      </c>
      <c r="H45" s="28" t="str">
        <f aca="false">IF($A45="","",IF('1-Turizm Rehberliği'!F42="","",'1-Turizm Rehberliği'!F42))</f>
        <v/>
      </c>
      <c r="I45" s="28" t="str">
        <f aca="false">IF($A45="","",IF('1-Turizm Rehberliği'!G42="","",'1-Turizm Rehberliği'!G42))</f>
        <v/>
      </c>
      <c r="J45" s="28" t="str">
        <f aca="false">IF($A45="","",IF('1-Turizm Rehberliği'!H42="","",'1-Turizm Rehberliği'!H42))</f>
        <v/>
      </c>
      <c r="K45" s="28" t="str">
        <f aca="false">IF($A45="","",IF('1-Turizm Rehberliği'!I42="","",'1-Turizm Rehberliği'!I42))</f>
        <v/>
      </c>
      <c r="L45" s="28" t="str">
        <f aca="false">IF($I45="","",MATCH($I45,{"08.00";"09.00";"10.00";"11.00";"12.00";"13.00";"14.00";"15.00";"16.00";"17.00"},0))</f>
        <v/>
      </c>
      <c r="M45" s="28" t="str">
        <f aca="false">IF(OR($L45="",$J45=""),"",$L45+$J45-1)</f>
        <v/>
      </c>
      <c r="N45" s="28" t="str">
        <f aca="false">IF($A45="","",IF(OR($L45="",$M45=""),"",IF($M45&gt;10,"⚠ Saat Taşıyor","")))</f>
        <v/>
      </c>
      <c r="O45" s="28" t="str">
        <f aca="false">IF($A45="","",IF(OR($G45="",$H45="",$L45=""),"",IF(SUMPRODUCT(($A$7:$A$606&lt;&gt;"")*($G$7:$G$606=$G45)*($H$7:$H$606=$H45)*(ROW($A$7:$A$606)&lt;&gt;45)*($L$7:$L$606&lt;=$M45)*($M$7:$M$606&gt;=$L45))&gt;0,"⚠ Çakışma","OK")))</f>
        <v/>
      </c>
      <c r="P45" s="28" t="str">
        <f aca="false">IF($A45="","",IF(OR($K45="",$H45="",$L45=""),"",IF(SUMPRODUCT(($A$7:$A$606&lt;&gt;"")*($K$7:$K$606=$K45)*($H$7:$H$606=$H45)*(ROW($A$7:$A$606)&lt;&gt;45)*($L$7:$L$606&lt;=$M45)*($M$7:$M$606&gt;=$L45))&gt;0,"⚠ Çakışma","OK")))</f>
        <v/>
      </c>
      <c r="Q45" s="28" t="str">
        <f aca="false">IF($A45="","",IF(OR($E45="",$H45="",$L45=""),"",IF(SUMPRODUCT(($A$7:$A$606&lt;&gt;"")*($E$7:$E$606=$E45)*($H$7:$H$606=$H45)*(ROW($A$7:$A$606)&lt;&gt;45)*($L$7:$L$606&lt;=$M45)*($M$7:$M$606&gt;=$L45))&gt;0,"⚠ Çakışma","OK")))</f>
        <v/>
      </c>
      <c r="R45" s="28" t="str">
        <f aca="false">IF($A45="","",IF(OR($N45&lt;&gt;"",$O45="⚠ Çakışma",$P45="⚠ Çakışma",$Q45="⚠ Çakışma"),"⚠ Kontrol Et","✓ Uygun"))</f>
        <v/>
      </c>
    </row>
    <row r="46" customFormat="false" ht="13.5" hidden="false" customHeight="true" outlineLevel="0" collapsed="false">
      <c r="A46" s="28" t="str">
        <f aca="false">IF('1-Turizm Rehberliği'!A43="","","Turizm Rehberliği")</f>
        <v/>
      </c>
      <c r="B46" s="28" t="str">
        <f aca="false">IF($A46="","",IF('1-Turizm Rehberliği'!A43="","",'1-Turizm Rehberliği'!A43))</f>
        <v/>
      </c>
      <c r="C46" s="29" t="str">
        <f aca="false">IF($A46="","",IF('1-Turizm Rehberliği'!B43="","",'1-Turizm Rehberliği'!B43))</f>
        <v/>
      </c>
      <c r="D46" s="28" t="str">
        <f aca="false">IF($A46="","",IF('1-Turizm Rehberliği'!C43="","",'1-Turizm Rehberliği'!C43))</f>
        <v/>
      </c>
      <c r="E46" s="28" t="str">
        <f aca="false">IF($A46="","",$A46&amp;"-"&amp;$D46)</f>
        <v/>
      </c>
      <c r="F46" s="28" t="str">
        <f aca="false">IF($A46="","",IF('1-Turizm Rehberliği'!D43="","",'1-Turizm Rehberliği'!D43))</f>
        <v/>
      </c>
      <c r="G46" s="28" t="str">
        <f aca="false">IF($A46="","",IF('1-Turizm Rehberliği'!E43="","",'1-Turizm Rehberliği'!E43))</f>
        <v/>
      </c>
      <c r="H46" s="28" t="str">
        <f aca="false">IF($A46="","",IF('1-Turizm Rehberliği'!F43="","",'1-Turizm Rehberliği'!F43))</f>
        <v/>
      </c>
      <c r="I46" s="28" t="str">
        <f aca="false">IF($A46="","",IF('1-Turizm Rehberliği'!G43="","",'1-Turizm Rehberliği'!G43))</f>
        <v/>
      </c>
      <c r="J46" s="28" t="str">
        <f aca="false">IF($A46="","",IF('1-Turizm Rehberliği'!H43="","",'1-Turizm Rehberliği'!H43))</f>
        <v/>
      </c>
      <c r="K46" s="28" t="str">
        <f aca="false">IF($A46="","",IF('1-Turizm Rehberliği'!I43="","",'1-Turizm Rehberliği'!I43))</f>
        <v/>
      </c>
      <c r="L46" s="28" t="str">
        <f aca="false">IF($I46="","",MATCH($I46,{"08.00";"09.00";"10.00";"11.00";"12.00";"13.00";"14.00";"15.00";"16.00";"17.00"},0))</f>
        <v/>
      </c>
      <c r="M46" s="28" t="str">
        <f aca="false">IF(OR($L46="",$J46=""),"",$L46+$J46-1)</f>
        <v/>
      </c>
      <c r="N46" s="28" t="str">
        <f aca="false">IF($A46="","",IF(OR($L46="",$M46=""),"",IF($M46&gt;10,"⚠ Saat Taşıyor","")))</f>
        <v/>
      </c>
      <c r="O46" s="28" t="str">
        <f aca="false">IF($A46="","",IF(OR($G46="",$H46="",$L46=""),"",IF(SUMPRODUCT(($A$7:$A$606&lt;&gt;"")*($G$7:$G$606=$G46)*($H$7:$H$606=$H46)*(ROW($A$7:$A$606)&lt;&gt;46)*($L$7:$L$606&lt;=$M46)*($M$7:$M$606&gt;=$L46))&gt;0,"⚠ Çakışma","OK")))</f>
        <v/>
      </c>
      <c r="P46" s="28" t="str">
        <f aca="false">IF($A46="","",IF(OR($K46="",$H46="",$L46=""),"",IF(SUMPRODUCT(($A$7:$A$606&lt;&gt;"")*($K$7:$K$606=$K46)*($H$7:$H$606=$H46)*(ROW($A$7:$A$606)&lt;&gt;46)*($L$7:$L$606&lt;=$M46)*($M$7:$M$606&gt;=$L46))&gt;0,"⚠ Çakışma","OK")))</f>
        <v/>
      </c>
      <c r="Q46" s="28" t="str">
        <f aca="false">IF($A46="","",IF(OR($E46="",$H46="",$L46=""),"",IF(SUMPRODUCT(($A$7:$A$606&lt;&gt;"")*($E$7:$E$606=$E46)*($H$7:$H$606=$H46)*(ROW($A$7:$A$606)&lt;&gt;46)*($L$7:$L$606&lt;=$M46)*($M$7:$M$606&gt;=$L46))&gt;0,"⚠ Çakışma","OK")))</f>
        <v/>
      </c>
      <c r="R46" s="28" t="str">
        <f aca="false">IF($A46="","",IF(OR($N46&lt;&gt;"",$O46="⚠ Çakışma",$P46="⚠ Çakışma",$Q46="⚠ Çakışma"),"⚠ Kontrol Et","✓ Uygun"))</f>
        <v/>
      </c>
    </row>
    <row r="47" customFormat="false" ht="13.5" hidden="false" customHeight="true" outlineLevel="0" collapsed="false">
      <c r="A47" s="28" t="str">
        <f aca="false">IF('1-Turizm Rehberliği'!A44="","","Turizm Rehberliği")</f>
        <v/>
      </c>
      <c r="B47" s="28" t="str">
        <f aca="false">IF($A47="","",IF('1-Turizm Rehberliği'!A44="","",'1-Turizm Rehberliği'!A44))</f>
        <v/>
      </c>
      <c r="C47" s="29" t="str">
        <f aca="false">IF($A47="","",IF('1-Turizm Rehberliği'!B44="","",'1-Turizm Rehberliği'!B44))</f>
        <v/>
      </c>
      <c r="D47" s="28" t="str">
        <f aca="false">IF($A47="","",IF('1-Turizm Rehberliği'!C44="","",'1-Turizm Rehberliği'!C44))</f>
        <v/>
      </c>
      <c r="E47" s="28" t="str">
        <f aca="false">IF($A47="","",$A47&amp;"-"&amp;$D47)</f>
        <v/>
      </c>
      <c r="F47" s="28" t="str">
        <f aca="false">IF($A47="","",IF('1-Turizm Rehberliği'!D44="","",'1-Turizm Rehberliği'!D44))</f>
        <v/>
      </c>
      <c r="G47" s="28" t="str">
        <f aca="false">IF($A47="","",IF('1-Turizm Rehberliği'!E44="","",'1-Turizm Rehberliği'!E44))</f>
        <v/>
      </c>
      <c r="H47" s="28" t="str">
        <f aca="false">IF($A47="","",IF('1-Turizm Rehberliği'!F44="","",'1-Turizm Rehberliği'!F44))</f>
        <v/>
      </c>
      <c r="I47" s="28" t="str">
        <f aca="false">IF($A47="","",IF('1-Turizm Rehberliği'!G44="","",'1-Turizm Rehberliği'!G44))</f>
        <v/>
      </c>
      <c r="J47" s="28" t="str">
        <f aca="false">IF($A47="","",IF('1-Turizm Rehberliği'!H44="","",'1-Turizm Rehberliği'!H44))</f>
        <v/>
      </c>
      <c r="K47" s="28" t="str">
        <f aca="false">IF($A47="","",IF('1-Turizm Rehberliği'!I44="","",'1-Turizm Rehberliği'!I44))</f>
        <v/>
      </c>
      <c r="L47" s="28" t="str">
        <f aca="false">IF($I47="","",MATCH($I47,{"08.00";"09.00";"10.00";"11.00";"12.00";"13.00";"14.00";"15.00";"16.00";"17.00"},0))</f>
        <v/>
      </c>
      <c r="M47" s="28" t="str">
        <f aca="false">IF(OR($L47="",$J47=""),"",$L47+$J47-1)</f>
        <v/>
      </c>
      <c r="N47" s="28" t="str">
        <f aca="false">IF($A47="","",IF(OR($L47="",$M47=""),"",IF($M47&gt;10,"⚠ Saat Taşıyor","")))</f>
        <v/>
      </c>
      <c r="O47" s="28" t="str">
        <f aca="false">IF($A47="","",IF(OR($G47="",$H47="",$L47=""),"",IF(SUMPRODUCT(($A$7:$A$606&lt;&gt;"")*($G$7:$G$606=$G47)*($H$7:$H$606=$H47)*(ROW($A$7:$A$606)&lt;&gt;47)*($L$7:$L$606&lt;=$M47)*($M$7:$M$606&gt;=$L47))&gt;0,"⚠ Çakışma","OK")))</f>
        <v/>
      </c>
      <c r="P47" s="28" t="str">
        <f aca="false">IF($A47="","",IF(OR($K47="",$H47="",$L47=""),"",IF(SUMPRODUCT(($A$7:$A$606&lt;&gt;"")*($K$7:$K$606=$K47)*($H$7:$H$606=$H47)*(ROW($A$7:$A$606)&lt;&gt;47)*($L$7:$L$606&lt;=$M47)*($M$7:$M$606&gt;=$L47))&gt;0,"⚠ Çakışma","OK")))</f>
        <v/>
      </c>
      <c r="Q47" s="28" t="str">
        <f aca="false">IF($A47="","",IF(OR($E47="",$H47="",$L47=""),"",IF(SUMPRODUCT(($A$7:$A$606&lt;&gt;"")*($E$7:$E$606=$E47)*($H$7:$H$606=$H47)*(ROW($A$7:$A$606)&lt;&gt;47)*($L$7:$L$606&lt;=$M47)*($M$7:$M$606&gt;=$L47))&gt;0,"⚠ Çakışma","OK")))</f>
        <v/>
      </c>
      <c r="R47" s="28" t="str">
        <f aca="false">IF($A47="","",IF(OR($N47&lt;&gt;"",$O47="⚠ Çakışma",$P47="⚠ Çakışma",$Q47="⚠ Çakışma"),"⚠ Kontrol Et","✓ Uygun"))</f>
        <v/>
      </c>
    </row>
    <row r="48" customFormat="false" ht="13.5" hidden="false" customHeight="true" outlineLevel="0" collapsed="false">
      <c r="A48" s="28" t="str">
        <f aca="false">IF('1-Turizm Rehberliği'!A45="","","Turizm Rehberliği")</f>
        <v/>
      </c>
      <c r="B48" s="28" t="str">
        <f aca="false">IF($A48="","",IF('1-Turizm Rehberliği'!A45="","",'1-Turizm Rehberliği'!A45))</f>
        <v/>
      </c>
      <c r="C48" s="29" t="str">
        <f aca="false">IF($A48="","",IF('1-Turizm Rehberliği'!B45="","",'1-Turizm Rehberliği'!B45))</f>
        <v/>
      </c>
      <c r="D48" s="28" t="str">
        <f aca="false">IF($A48="","",IF('1-Turizm Rehberliği'!C45="","",'1-Turizm Rehberliği'!C45))</f>
        <v/>
      </c>
      <c r="E48" s="28" t="str">
        <f aca="false">IF($A48="","",$A48&amp;"-"&amp;$D48)</f>
        <v/>
      </c>
      <c r="F48" s="28" t="str">
        <f aca="false">IF($A48="","",IF('1-Turizm Rehberliği'!D45="","",'1-Turizm Rehberliği'!D45))</f>
        <v/>
      </c>
      <c r="G48" s="28" t="str">
        <f aca="false">IF($A48="","",IF('1-Turizm Rehberliği'!E45="","",'1-Turizm Rehberliği'!E45))</f>
        <v/>
      </c>
      <c r="H48" s="28" t="str">
        <f aca="false">IF($A48="","",IF('1-Turizm Rehberliği'!F45="","",'1-Turizm Rehberliği'!F45))</f>
        <v/>
      </c>
      <c r="I48" s="28" t="str">
        <f aca="false">IF($A48="","",IF('1-Turizm Rehberliği'!G45="","",'1-Turizm Rehberliği'!G45))</f>
        <v/>
      </c>
      <c r="J48" s="28" t="str">
        <f aca="false">IF($A48="","",IF('1-Turizm Rehberliği'!H45="","",'1-Turizm Rehberliği'!H45))</f>
        <v/>
      </c>
      <c r="K48" s="28" t="str">
        <f aca="false">IF($A48="","",IF('1-Turizm Rehberliği'!I45="","",'1-Turizm Rehberliği'!I45))</f>
        <v/>
      </c>
      <c r="L48" s="28" t="str">
        <f aca="false">IF($I48="","",MATCH($I48,{"08.00";"09.00";"10.00";"11.00";"12.00";"13.00";"14.00";"15.00";"16.00";"17.00"},0))</f>
        <v/>
      </c>
      <c r="M48" s="28" t="str">
        <f aca="false">IF(OR($L48="",$J48=""),"",$L48+$J48-1)</f>
        <v/>
      </c>
      <c r="N48" s="28" t="str">
        <f aca="false">IF($A48="","",IF(OR($L48="",$M48=""),"",IF($M48&gt;10,"⚠ Saat Taşıyor","")))</f>
        <v/>
      </c>
      <c r="O48" s="28" t="str">
        <f aca="false">IF($A48="","",IF(OR($G48="",$H48="",$L48=""),"",IF(SUMPRODUCT(($A$7:$A$606&lt;&gt;"")*($G$7:$G$606=$G48)*($H$7:$H$606=$H48)*(ROW($A$7:$A$606)&lt;&gt;48)*($L$7:$L$606&lt;=$M48)*($M$7:$M$606&gt;=$L48))&gt;0,"⚠ Çakışma","OK")))</f>
        <v/>
      </c>
      <c r="P48" s="28" t="str">
        <f aca="false">IF($A48="","",IF(OR($K48="",$H48="",$L48=""),"",IF(SUMPRODUCT(($A$7:$A$606&lt;&gt;"")*($K$7:$K$606=$K48)*($H$7:$H$606=$H48)*(ROW($A$7:$A$606)&lt;&gt;48)*($L$7:$L$606&lt;=$M48)*($M$7:$M$606&gt;=$L48))&gt;0,"⚠ Çakışma","OK")))</f>
        <v/>
      </c>
      <c r="Q48" s="28" t="str">
        <f aca="false">IF($A48="","",IF(OR($E48="",$H48="",$L48=""),"",IF(SUMPRODUCT(($A$7:$A$606&lt;&gt;"")*($E$7:$E$606=$E48)*($H$7:$H$606=$H48)*(ROW($A$7:$A$606)&lt;&gt;48)*($L$7:$L$606&lt;=$M48)*($M$7:$M$606&gt;=$L48))&gt;0,"⚠ Çakışma","OK")))</f>
        <v/>
      </c>
      <c r="R48" s="28" t="str">
        <f aca="false">IF($A48="","",IF(OR($N48&lt;&gt;"",$O48="⚠ Çakışma",$P48="⚠ Çakışma",$Q48="⚠ Çakışma"),"⚠ Kontrol Et","✓ Uygun"))</f>
        <v/>
      </c>
    </row>
    <row r="49" customFormat="false" ht="13.5" hidden="false" customHeight="true" outlineLevel="0" collapsed="false">
      <c r="A49" s="28" t="str">
        <f aca="false">IF('1-Turizm Rehberliği'!A46="","","Turizm Rehberliği")</f>
        <v/>
      </c>
      <c r="B49" s="28" t="str">
        <f aca="false">IF($A49="","",IF('1-Turizm Rehberliği'!A46="","",'1-Turizm Rehberliği'!A46))</f>
        <v/>
      </c>
      <c r="C49" s="29" t="str">
        <f aca="false">IF($A49="","",IF('1-Turizm Rehberliği'!B46="","",'1-Turizm Rehberliği'!B46))</f>
        <v/>
      </c>
      <c r="D49" s="28" t="str">
        <f aca="false">IF($A49="","",IF('1-Turizm Rehberliği'!C46="","",'1-Turizm Rehberliği'!C46))</f>
        <v/>
      </c>
      <c r="E49" s="28" t="str">
        <f aca="false">IF($A49="","",$A49&amp;"-"&amp;$D49)</f>
        <v/>
      </c>
      <c r="F49" s="28" t="str">
        <f aca="false">IF($A49="","",IF('1-Turizm Rehberliği'!D46="","",'1-Turizm Rehberliği'!D46))</f>
        <v/>
      </c>
      <c r="G49" s="28" t="str">
        <f aca="false">IF($A49="","",IF('1-Turizm Rehberliği'!E46="","",'1-Turizm Rehberliği'!E46))</f>
        <v/>
      </c>
      <c r="H49" s="28" t="str">
        <f aca="false">IF($A49="","",IF('1-Turizm Rehberliği'!F46="","",'1-Turizm Rehberliği'!F46))</f>
        <v/>
      </c>
      <c r="I49" s="28" t="str">
        <f aca="false">IF($A49="","",IF('1-Turizm Rehberliği'!G46="","",'1-Turizm Rehberliği'!G46))</f>
        <v/>
      </c>
      <c r="J49" s="28" t="str">
        <f aca="false">IF($A49="","",IF('1-Turizm Rehberliği'!H46="","",'1-Turizm Rehberliği'!H46))</f>
        <v/>
      </c>
      <c r="K49" s="28" t="str">
        <f aca="false">IF($A49="","",IF('1-Turizm Rehberliği'!I46="","",'1-Turizm Rehberliği'!I46))</f>
        <v/>
      </c>
      <c r="L49" s="28" t="str">
        <f aca="false">IF($I49="","",MATCH($I49,{"08.00";"09.00";"10.00";"11.00";"12.00";"13.00";"14.00";"15.00";"16.00";"17.00"},0))</f>
        <v/>
      </c>
      <c r="M49" s="28" t="str">
        <f aca="false">IF(OR($L49="",$J49=""),"",$L49+$J49-1)</f>
        <v/>
      </c>
      <c r="N49" s="28" t="str">
        <f aca="false">IF($A49="","",IF(OR($L49="",$M49=""),"",IF($M49&gt;10,"⚠ Saat Taşıyor","")))</f>
        <v/>
      </c>
      <c r="O49" s="28" t="str">
        <f aca="false">IF($A49="","",IF(OR($G49="",$H49="",$L49=""),"",IF(SUMPRODUCT(($A$7:$A$606&lt;&gt;"")*($G$7:$G$606=$G49)*($H$7:$H$606=$H49)*(ROW($A$7:$A$606)&lt;&gt;49)*($L$7:$L$606&lt;=$M49)*($M$7:$M$606&gt;=$L49))&gt;0,"⚠ Çakışma","OK")))</f>
        <v/>
      </c>
      <c r="P49" s="28" t="str">
        <f aca="false">IF($A49="","",IF(OR($K49="",$H49="",$L49=""),"",IF(SUMPRODUCT(($A$7:$A$606&lt;&gt;"")*($K$7:$K$606=$K49)*($H$7:$H$606=$H49)*(ROW($A$7:$A$606)&lt;&gt;49)*($L$7:$L$606&lt;=$M49)*($M$7:$M$606&gt;=$L49))&gt;0,"⚠ Çakışma","OK")))</f>
        <v/>
      </c>
      <c r="Q49" s="28" t="str">
        <f aca="false">IF($A49="","",IF(OR($E49="",$H49="",$L49=""),"",IF(SUMPRODUCT(($A$7:$A$606&lt;&gt;"")*($E$7:$E$606=$E49)*($H$7:$H$606=$H49)*(ROW($A$7:$A$606)&lt;&gt;49)*($L$7:$L$606&lt;=$M49)*($M$7:$M$606&gt;=$L49))&gt;0,"⚠ Çakışma","OK")))</f>
        <v/>
      </c>
      <c r="R49" s="28" t="str">
        <f aca="false">IF($A49="","",IF(OR($N49&lt;&gt;"",$O49="⚠ Çakışma",$P49="⚠ Çakışma",$Q49="⚠ Çakışma"),"⚠ Kontrol Et","✓ Uygun"))</f>
        <v/>
      </c>
    </row>
    <row r="50" customFormat="false" ht="13.5" hidden="false" customHeight="true" outlineLevel="0" collapsed="false">
      <c r="A50" s="28" t="str">
        <f aca="false">IF('1-Turizm Rehberliği'!A47="","","Turizm Rehberliği")</f>
        <v/>
      </c>
      <c r="B50" s="28" t="str">
        <f aca="false">IF($A50="","",IF('1-Turizm Rehberliği'!A47="","",'1-Turizm Rehberliği'!A47))</f>
        <v/>
      </c>
      <c r="C50" s="29" t="str">
        <f aca="false">IF($A50="","",IF('1-Turizm Rehberliği'!B47="","",'1-Turizm Rehberliği'!B47))</f>
        <v/>
      </c>
      <c r="D50" s="28" t="str">
        <f aca="false">IF($A50="","",IF('1-Turizm Rehberliği'!C47="","",'1-Turizm Rehberliği'!C47))</f>
        <v/>
      </c>
      <c r="E50" s="28" t="str">
        <f aca="false">IF($A50="","",$A50&amp;"-"&amp;$D50)</f>
        <v/>
      </c>
      <c r="F50" s="28" t="str">
        <f aca="false">IF($A50="","",IF('1-Turizm Rehberliği'!D47="","",'1-Turizm Rehberliği'!D47))</f>
        <v/>
      </c>
      <c r="G50" s="28" t="str">
        <f aca="false">IF($A50="","",IF('1-Turizm Rehberliği'!E47="","",'1-Turizm Rehberliği'!E47))</f>
        <v/>
      </c>
      <c r="H50" s="28" t="str">
        <f aca="false">IF($A50="","",IF('1-Turizm Rehberliği'!F47="","",'1-Turizm Rehberliği'!F47))</f>
        <v/>
      </c>
      <c r="I50" s="28" t="str">
        <f aca="false">IF($A50="","",IF('1-Turizm Rehberliği'!G47="","",'1-Turizm Rehberliği'!G47))</f>
        <v/>
      </c>
      <c r="J50" s="28" t="str">
        <f aca="false">IF($A50="","",IF('1-Turizm Rehberliği'!H47="","",'1-Turizm Rehberliği'!H47))</f>
        <v/>
      </c>
      <c r="K50" s="28" t="str">
        <f aca="false">IF($A50="","",IF('1-Turizm Rehberliği'!I47="","",'1-Turizm Rehberliği'!I47))</f>
        <v/>
      </c>
      <c r="L50" s="28" t="str">
        <f aca="false">IF($I50="","",MATCH($I50,{"08.00";"09.00";"10.00";"11.00";"12.00";"13.00";"14.00";"15.00";"16.00";"17.00"},0))</f>
        <v/>
      </c>
      <c r="M50" s="28" t="str">
        <f aca="false">IF(OR($L50="",$J50=""),"",$L50+$J50-1)</f>
        <v/>
      </c>
      <c r="N50" s="28" t="str">
        <f aca="false">IF($A50="","",IF(OR($L50="",$M50=""),"",IF($M50&gt;10,"⚠ Saat Taşıyor","")))</f>
        <v/>
      </c>
      <c r="O50" s="28" t="str">
        <f aca="false">IF($A50="","",IF(OR($G50="",$H50="",$L50=""),"",IF(SUMPRODUCT(($A$7:$A$606&lt;&gt;"")*($G$7:$G$606=$G50)*($H$7:$H$606=$H50)*(ROW($A$7:$A$606)&lt;&gt;50)*($L$7:$L$606&lt;=$M50)*($M$7:$M$606&gt;=$L50))&gt;0,"⚠ Çakışma","OK")))</f>
        <v/>
      </c>
      <c r="P50" s="28" t="str">
        <f aca="false">IF($A50="","",IF(OR($K50="",$H50="",$L50=""),"",IF(SUMPRODUCT(($A$7:$A$606&lt;&gt;"")*($K$7:$K$606=$K50)*($H$7:$H$606=$H50)*(ROW($A$7:$A$606)&lt;&gt;50)*($L$7:$L$606&lt;=$M50)*($M$7:$M$606&gt;=$L50))&gt;0,"⚠ Çakışma","OK")))</f>
        <v/>
      </c>
      <c r="Q50" s="28" t="str">
        <f aca="false">IF($A50="","",IF(OR($E50="",$H50="",$L50=""),"",IF(SUMPRODUCT(($A$7:$A$606&lt;&gt;"")*($E$7:$E$606=$E50)*($H$7:$H$606=$H50)*(ROW($A$7:$A$606)&lt;&gt;50)*($L$7:$L$606&lt;=$M50)*($M$7:$M$606&gt;=$L50))&gt;0,"⚠ Çakışma","OK")))</f>
        <v/>
      </c>
      <c r="R50" s="28" t="str">
        <f aca="false">IF($A50="","",IF(OR($N50&lt;&gt;"",$O50="⚠ Çakışma",$P50="⚠ Çakışma",$Q50="⚠ Çakışma"),"⚠ Kontrol Et","✓ Uygun"))</f>
        <v/>
      </c>
    </row>
    <row r="51" customFormat="false" ht="13.5" hidden="false" customHeight="true" outlineLevel="0" collapsed="false">
      <c r="A51" s="28" t="str">
        <f aca="false">IF('1-Turizm Rehberliği'!A48="","","Turizm Rehberliği")</f>
        <v/>
      </c>
      <c r="B51" s="28" t="str">
        <f aca="false">IF($A51="","",IF('1-Turizm Rehberliği'!A48="","",'1-Turizm Rehberliği'!A48))</f>
        <v/>
      </c>
      <c r="C51" s="29" t="str">
        <f aca="false">IF($A51="","",IF('1-Turizm Rehberliği'!B48="","",'1-Turizm Rehberliği'!B48))</f>
        <v/>
      </c>
      <c r="D51" s="28" t="str">
        <f aca="false">IF($A51="","",IF('1-Turizm Rehberliği'!C48="","",'1-Turizm Rehberliği'!C48))</f>
        <v/>
      </c>
      <c r="E51" s="28" t="str">
        <f aca="false">IF($A51="","",$A51&amp;"-"&amp;$D51)</f>
        <v/>
      </c>
      <c r="F51" s="28" t="str">
        <f aca="false">IF($A51="","",IF('1-Turizm Rehberliği'!D48="","",'1-Turizm Rehberliği'!D48))</f>
        <v/>
      </c>
      <c r="G51" s="28" t="str">
        <f aca="false">IF($A51="","",IF('1-Turizm Rehberliği'!E48="","",'1-Turizm Rehberliği'!E48))</f>
        <v/>
      </c>
      <c r="H51" s="28" t="str">
        <f aca="false">IF($A51="","",IF('1-Turizm Rehberliği'!F48="","",'1-Turizm Rehberliği'!F48))</f>
        <v/>
      </c>
      <c r="I51" s="28" t="str">
        <f aca="false">IF($A51="","",IF('1-Turizm Rehberliği'!G48="","",'1-Turizm Rehberliği'!G48))</f>
        <v/>
      </c>
      <c r="J51" s="28" t="str">
        <f aca="false">IF($A51="","",IF('1-Turizm Rehberliği'!H48="","",'1-Turizm Rehberliği'!H48))</f>
        <v/>
      </c>
      <c r="K51" s="28" t="str">
        <f aca="false">IF($A51="","",IF('1-Turizm Rehberliği'!I48="","",'1-Turizm Rehberliği'!I48))</f>
        <v/>
      </c>
      <c r="L51" s="28" t="str">
        <f aca="false">IF($I51="","",MATCH($I51,{"08.00";"09.00";"10.00";"11.00";"12.00";"13.00";"14.00";"15.00";"16.00";"17.00"},0))</f>
        <v/>
      </c>
      <c r="M51" s="28" t="str">
        <f aca="false">IF(OR($L51="",$J51=""),"",$L51+$J51-1)</f>
        <v/>
      </c>
      <c r="N51" s="28" t="str">
        <f aca="false">IF($A51="","",IF(OR($L51="",$M51=""),"",IF($M51&gt;10,"⚠ Saat Taşıyor","")))</f>
        <v/>
      </c>
      <c r="O51" s="28" t="str">
        <f aca="false">IF($A51="","",IF(OR($G51="",$H51="",$L51=""),"",IF(SUMPRODUCT(($A$7:$A$606&lt;&gt;"")*($G$7:$G$606=$G51)*($H$7:$H$606=$H51)*(ROW($A$7:$A$606)&lt;&gt;51)*($L$7:$L$606&lt;=$M51)*($M$7:$M$606&gt;=$L51))&gt;0,"⚠ Çakışma","OK")))</f>
        <v/>
      </c>
      <c r="P51" s="28" t="str">
        <f aca="false">IF($A51="","",IF(OR($K51="",$H51="",$L51=""),"",IF(SUMPRODUCT(($A$7:$A$606&lt;&gt;"")*($K$7:$K$606=$K51)*($H$7:$H$606=$H51)*(ROW($A$7:$A$606)&lt;&gt;51)*($L$7:$L$606&lt;=$M51)*($M$7:$M$606&gt;=$L51))&gt;0,"⚠ Çakışma","OK")))</f>
        <v/>
      </c>
      <c r="Q51" s="28" t="str">
        <f aca="false">IF($A51="","",IF(OR($E51="",$H51="",$L51=""),"",IF(SUMPRODUCT(($A$7:$A$606&lt;&gt;"")*($E$7:$E$606=$E51)*($H$7:$H$606=$H51)*(ROW($A$7:$A$606)&lt;&gt;51)*($L$7:$L$606&lt;=$M51)*($M$7:$M$606&gt;=$L51))&gt;0,"⚠ Çakışma","OK")))</f>
        <v/>
      </c>
      <c r="R51" s="28" t="str">
        <f aca="false">IF($A51="","",IF(OR($N51&lt;&gt;"",$O51="⚠ Çakışma",$P51="⚠ Çakışma",$Q51="⚠ Çakışma"),"⚠ Kontrol Et","✓ Uygun"))</f>
        <v/>
      </c>
    </row>
    <row r="52" customFormat="false" ht="13.5" hidden="false" customHeight="true" outlineLevel="0" collapsed="false">
      <c r="A52" s="28" t="str">
        <f aca="false">IF('1-Turizm Rehberliği'!A49="","","Turizm Rehberliği")</f>
        <v/>
      </c>
      <c r="B52" s="28" t="str">
        <f aca="false">IF($A52="","",IF('1-Turizm Rehberliği'!A49="","",'1-Turizm Rehberliği'!A49))</f>
        <v/>
      </c>
      <c r="C52" s="29" t="str">
        <f aca="false">IF($A52="","",IF('1-Turizm Rehberliği'!B49="","",'1-Turizm Rehberliği'!B49))</f>
        <v/>
      </c>
      <c r="D52" s="28" t="str">
        <f aca="false">IF($A52="","",IF('1-Turizm Rehberliği'!C49="","",'1-Turizm Rehberliği'!C49))</f>
        <v/>
      </c>
      <c r="E52" s="28" t="str">
        <f aca="false">IF($A52="","",$A52&amp;"-"&amp;$D52)</f>
        <v/>
      </c>
      <c r="F52" s="28" t="str">
        <f aca="false">IF($A52="","",IF('1-Turizm Rehberliği'!D49="","",'1-Turizm Rehberliği'!D49))</f>
        <v/>
      </c>
      <c r="G52" s="28" t="str">
        <f aca="false">IF($A52="","",IF('1-Turizm Rehberliği'!E49="","",'1-Turizm Rehberliği'!E49))</f>
        <v/>
      </c>
      <c r="H52" s="28" t="str">
        <f aca="false">IF($A52="","",IF('1-Turizm Rehberliği'!F49="","",'1-Turizm Rehberliği'!F49))</f>
        <v/>
      </c>
      <c r="I52" s="28" t="str">
        <f aca="false">IF($A52="","",IF('1-Turizm Rehberliği'!G49="","",'1-Turizm Rehberliği'!G49))</f>
        <v/>
      </c>
      <c r="J52" s="28" t="str">
        <f aca="false">IF($A52="","",IF('1-Turizm Rehberliği'!H49="","",'1-Turizm Rehberliği'!H49))</f>
        <v/>
      </c>
      <c r="K52" s="28" t="str">
        <f aca="false">IF($A52="","",IF('1-Turizm Rehberliği'!I49="","",'1-Turizm Rehberliği'!I49))</f>
        <v/>
      </c>
      <c r="L52" s="28" t="str">
        <f aca="false">IF($I52="","",MATCH($I52,{"08.00";"09.00";"10.00";"11.00";"12.00";"13.00";"14.00";"15.00";"16.00";"17.00"},0))</f>
        <v/>
      </c>
      <c r="M52" s="28" t="str">
        <f aca="false">IF(OR($L52="",$J52=""),"",$L52+$J52-1)</f>
        <v/>
      </c>
      <c r="N52" s="28" t="str">
        <f aca="false">IF($A52="","",IF(OR($L52="",$M52=""),"",IF($M52&gt;10,"⚠ Saat Taşıyor","")))</f>
        <v/>
      </c>
      <c r="O52" s="28" t="str">
        <f aca="false">IF($A52="","",IF(OR($G52="",$H52="",$L52=""),"",IF(SUMPRODUCT(($A$7:$A$606&lt;&gt;"")*($G$7:$G$606=$G52)*($H$7:$H$606=$H52)*(ROW($A$7:$A$606)&lt;&gt;52)*($L$7:$L$606&lt;=$M52)*($M$7:$M$606&gt;=$L52))&gt;0,"⚠ Çakışma","OK")))</f>
        <v/>
      </c>
      <c r="P52" s="28" t="str">
        <f aca="false">IF($A52="","",IF(OR($K52="",$H52="",$L52=""),"",IF(SUMPRODUCT(($A$7:$A$606&lt;&gt;"")*($K$7:$K$606=$K52)*($H$7:$H$606=$H52)*(ROW($A$7:$A$606)&lt;&gt;52)*($L$7:$L$606&lt;=$M52)*($M$7:$M$606&gt;=$L52))&gt;0,"⚠ Çakışma","OK")))</f>
        <v/>
      </c>
      <c r="Q52" s="28" t="str">
        <f aca="false">IF($A52="","",IF(OR($E52="",$H52="",$L52=""),"",IF(SUMPRODUCT(($A$7:$A$606&lt;&gt;"")*($E$7:$E$606=$E52)*($H$7:$H$606=$H52)*(ROW($A$7:$A$606)&lt;&gt;52)*($L$7:$L$606&lt;=$M52)*($M$7:$M$606&gt;=$L52))&gt;0,"⚠ Çakışma","OK")))</f>
        <v/>
      </c>
      <c r="R52" s="28" t="str">
        <f aca="false">IF($A52="","",IF(OR($N52&lt;&gt;"",$O52="⚠ Çakışma",$P52="⚠ Çakışma",$Q52="⚠ Çakışma"),"⚠ Kontrol Et","✓ Uygun"))</f>
        <v/>
      </c>
    </row>
    <row r="53" customFormat="false" ht="13.5" hidden="false" customHeight="true" outlineLevel="0" collapsed="false">
      <c r="A53" s="28" t="str">
        <f aca="false">IF('1-Turizm Rehberliği'!A50="","","Turizm Rehberliği")</f>
        <v/>
      </c>
      <c r="B53" s="28" t="str">
        <f aca="false">IF($A53="","",IF('1-Turizm Rehberliği'!A50="","",'1-Turizm Rehberliği'!A50))</f>
        <v/>
      </c>
      <c r="C53" s="29" t="str">
        <f aca="false">IF($A53="","",IF('1-Turizm Rehberliği'!B50="","",'1-Turizm Rehberliği'!B50))</f>
        <v/>
      </c>
      <c r="D53" s="28" t="str">
        <f aca="false">IF($A53="","",IF('1-Turizm Rehberliği'!C50="","",'1-Turizm Rehberliği'!C50))</f>
        <v/>
      </c>
      <c r="E53" s="28" t="str">
        <f aca="false">IF($A53="","",$A53&amp;"-"&amp;$D53)</f>
        <v/>
      </c>
      <c r="F53" s="28" t="str">
        <f aca="false">IF($A53="","",IF('1-Turizm Rehberliği'!D50="","",'1-Turizm Rehberliği'!D50))</f>
        <v/>
      </c>
      <c r="G53" s="28" t="str">
        <f aca="false">IF($A53="","",IF('1-Turizm Rehberliği'!E50="","",'1-Turizm Rehberliği'!E50))</f>
        <v/>
      </c>
      <c r="H53" s="28" t="str">
        <f aca="false">IF($A53="","",IF('1-Turizm Rehberliği'!F50="","",'1-Turizm Rehberliği'!F50))</f>
        <v/>
      </c>
      <c r="I53" s="28" t="str">
        <f aca="false">IF($A53="","",IF('1-Turizm Rehberliği'!G50="","",'1-Turizm Rehberliği'!G50))</f>
        <v/>
      </c>
      <c r="J53" s="28" t="str">
        <f aca="false">IF($A53="","",IF('1-Turizm Rehberliği'!H50="","",'1-Turizm Rehberliği'!H50))</f>
        <v/>
      </c>
      <c r="K53" s="28" t="str">
        <f aca="false">IF($A53="","",IF('1-Turizm Rehberliği'!I50="","",'1-Turizm Rehberliği'!I50))</f>
        <v/>
      </c>
      <c r="L53" s="28" t="str">
        <f aca="false">IF($I53="","",MATCH($I53,{"08.00";"09.00";"10.00";"11.00";"12.00";"13.00";"14.00";"15.00";"16.00";"17.00"},0))</f>
        <v/>
      </c>
      <c r="M53" s="28" t="str">
        <f aca="false">IF(OR($L53="",$J53=""),"",$L53+$J53-1)</f>
        <v/>
      </c>
      <c r="N53" s="28" t="str">
        <f aca="false">IF($A53="","",IF(OR($L53="",$M53=""),"",IF($M53&gt;10,"⚠ Saat Taşıyor","")))</f>
        <v/>
      </c>
      <c r="O53" s="28" t="str">
        <f aca="false">IF($A53="","",IF(OR($G53="",$H53="",$L53=""),"",IF(SUMPRODUCT(($A$7:$A$606&lt;&gt;"")*($G$7:$G$606=$G53)*($H$7:$H$606=$H53)*(ROW($A$7:$A$606)&lt;&gt;53)*($L$7:$L$606&lt;=$M53)*($M$7:$M$606&gt;=$L53))&gt;0,"⚠ Çakışma","OK")))</f>
        <v/>
      </c>
      <c r="P53" s="28" t="str">
        <f aca="false">IF($A53="","",IF(OR($K53="",$H53="",$L53=""),"",IF(SUMPRODUCT(($A$7:$A$606&lt;&gt;"")*($K$7:$K$606=$K53)*($H$7:$H$606=$H53)*(ROW($A$7:$A$606)&lt;&gt;53)*($L$7:$L$606&lt;=$M53)*($M$7:$M$606&gt;=$L53))&gt;0,"⚠ Çakışma","OK")))</f>
        <v/>
      </c>
      <c r="Q53" s="28" t="str">
        <f aca="false">IF($A53="","",IF(OR($E53="",$H53="",$L53=""),"",IF(SUMPRODUCT(($A$7:$A$606&lt;&gt;"")*($E$7:$E$606=$E53)*($H$7:$H$606=$H53)*(ROW($A$7:$A$606)&lt;&gt;53)*($L$7:$L$606&lt;=$M53)*($M$7:$M$606&gt;=$L53))&gt;0,"⚠ Çakışma","OK")))</f>
        <v/>
      </c>
      <c r="R53" s="28" t="str">
        <f aca="false">IF($A53="","",IF(OR($N53&lt;&gt;"",$O53="⚠ Çakışma",$P53="⚠ Çakışma",$Q53="⚠ Çakışma"),"⚠ Kontrol Et","✓ Uygun"))</f>
        <v/>
      </c>
    </row>
    <row r="54" customFormat="false" ht="13.5" hidden="false" customHeight="true" outlineLevel="0" collapsed="false">
      <c r="A54" s="28" t="str">
        <f aca="false">IF('1-Turizm Rehberliği'!A51="","","Turizm Rehberliği")</f>
        <v/>
      </c>
      <c r="B54" s="28" t="str">
        <f aca="false">IF($A54="","",IF('1-Turizm Rehberliği'!A51="","",'1-Turizm Rehberliği'!A51))</f>
        <v/>
      </c>
      <c r="C54" s="29" t="str">
        <f aca="false">IF($A54="","",IF('1-Turizm Rehberliği'!B51="","",'1-Turizm Rehberliği'!B51))</f>
        <v/>
      </c>
      <c r="D54" s="28" t="str">
        <f aca="false">IF($A54="","",IF('1-Turizm Rehberliği'!C51="","",'1-Turizm Rehberliği'!C51))</f>
        <v/>
      </c>
      <c r="E54" s="28" t="str">
        <f aca="false">IF($A54="","",$A54&amp;"-"&amp;$D54)</f>
        <v/>
      </c>
      <c r="F54" s="28" t="str">
        <f aca="false">IF($A54="","",IF('1-Turizm Rehberliği'!D51="","",'1-Turizm Rehberliği'!D51))</f>
        <v/>
      </c>
      <c r="G54" s="28" t="str">
        <f aca="false">IF($A54="","",IF('1-Turizm Rehberliği'!E51="","",'1-Turizm Rehberliği'!E51))</f>
        <v/>
      </c>
      <c r="H54" s="28" t="str">
        <f aca="false">IF($A54="","",IF('1-Turizm Rehberliği'!F51="","",'1-Turizm Rehberliği'!F51))</f>
        <v/>
      </c>
      <c r="I54" s="28" t="str">
        <f aca="false">IF($A54="","",IF('1-Turizm Rehberliği'!G51="","",'1-Turizm Rehberliği'!G51))</f>
        <v/>
      </c>
      <c r="J54" s="28" t="str">
        <f aca="false">IF($A54="","",IF('1-Turizm Rehberliği'!H51="","",'1-Turizm Rehberliği'!H51))</f>
        <v/>
      </c>
      <c r="K54" s="28" t="str">
        <f aca="false">IF($A54="","",IF('1-Turizm Rehberliği'!I51="","",'1-Turizm Rehberliği'!I51))</f>
        <v/>
      </c>
      <c r="L54" s="28" t="str">
        <f aca="false">IF($I54="","",MATCH($I54,{"08.00";"09.00";"10.00";"11.00";"12.00";"13.00";"14.00";"15.00";"16.00";"17.00"},0))</f>
        <v/>
      </c>
      <c r="M54" s="28" t="str">
        <f aca="false">IF(OR($L54="",$J54=""),"",$L54+$J54-1)</f>
        <v/>
      </c>
      <c r="N54" s="28" t="str">
        <f aca="false">IF($A54="","",IF(OR($L54="",$M54=""),"",IF($M54&gt;10,"⚠ Saat Taşıyor","")))</f>
        <v/>
      </c>
      <c r="O54" s="28" t="str">
        <f aca="false">IF($A54="","",IF(OR($G54="",$H54="",$L54=""),"",IF(SUMPRODUCT(($A$7:$A$606&lt;&gt;"")*($G$7:$G$606=$G54)*($H$7:$H$606=$H54)*(ROW($A$7:$A$606)&lt;&gt;54)*($L$7:$L$606&lt;=$M54)*($M$7:$M$606&gt;=$L54))&gt;0,"⚠ Çakışma","OK")))</f>
        <v/>
      </c>
      <c r="P54" s="28" t="str">
        <f aca="false">IF($A54="","",IF(OR($K54="",$H54="",$L54=""),"",IF(SUMPRODUCT(($A$7:$A$606&lt;&gt;"")*($K$7:$K$606=$K54)*($H$7:$H$606=$H54)*(ROW($A$7:$A$606)&lt;&gt;54)*($L$7:$L$606&lt;=$M54)*($M$7:$M$606&gt;=$L54))&gt;0,"⚠ Çakışma","OK")))</f>
        <v/>
      </c>
      <c r="Q54" s="28" t="str">
        <f aca="false">IF($A54="","",IF(OR($E54="",$H54="",$L54=""),"",IF(SUMPRODUCT(($A$7:$A$606&lt;&gt;"")*($E$7:$E$606=$E54)*($H$7:$H$606=$H54)*(ROW($A$7:$A$606)&lt;&gt;54)*($L$7:$L$606&lt;=$M54)*($M$7:$M$606&gt;=$L54))&gt;0,"⚠ Çakışma","OK")))</f>
        <v/>
      </c>
      <c r="R54" s="28" t="str">
        <f aca="false">IF($A54="","",IF(OR($N54&lt;&gt;"",$O54="⚠ Çakışma",$P54="⚠ Çakışma",$Q54="⚠ Çakışma"),"⚠ Kontrol Et","✓ Uygun"))</f>
        <v/>
      </c>
    </row>
    <row r="55" customFormat="false" ht="13.5" hidden="false" customHeight="true" outlineLevel="0" collapsed="false">
      <c r="A55" s="28" t="str">
        <f aca="false">IF('1-Turizm Rehberliği'!A52="","","Turizm Rehberliği")</f>
        <v/>
      </c>
      <c r="B55" s="28" t="str">
        <f aca="false">IF($A55="","",IF('1-Turizm Rehberliği'!A52="","",'1-Turizm Rehberliği'!A52))</f>
        <v/>
      </c>
      <c r="C55" s="29" t="str">
        <f aca="false">IF($A55="","",IF('1-Turizm Rehberliği'!B52="","",'1-Turizm Rehberliği'!B52))</f>
        <v/>
      </c>
      <c r="D55" s="28" t="str">
        <f aca="false">IF($A55="","",IF('1-Turizm Rehberliği'!C52="","",'1-Turizm Rehberliği'!C52))</f>
        <v/>
      </c>
      <c r="E55" s="28" t="str">
        <f aca="false">IF($A55="","",$A55&amp;"-"&amp;$D55)</f>
        <v/>
      </c>
      <c r="F55" s="28" t="str">
        <f aca="false">IF($A55="","",IF('1-Turizm Rehberliği'!D52="","",'1-Turizm Rehberliği'!D52))</f>
        <v/>
      </c>
      <c r="G55" s="28" t="str">
        <f aca="false">IF($A55="","",IF('1-Turizm Rehberliği'!E52="","",'1-Turizm Rehberliği'!E52))</f>
        <v/>
      </c>
      <c r="H55" s="28" t="str">
        <f aca="false">IF($A55="","",IF('1-Turizm Rehberliği'!F52="","",'1-Turizm Rehberliği'!F52))</f>
        <v/>
      </c>
      <c r="I55" s="28" t="str">
        <f aca="false">IF($A55="","",IF('1-Turizm Rehberliği'!G52="","",'1-Turizm Rehberliği'!G52))</f>
        <v/>
      </c>
      <c r="J55" s="28" t="str">
        <f aca="false">IF($A55="","",IF('1-Turizm Rehberliği'!H52="","",'1-Turizm Rehberliği'!H52))</f>
        <v/>
      </c>
      <c r="K55" s="28" t="str">
        <f aca="false">IF($A55="","",IF('1-Turizm Rehberliği'!I52="","",'1-Turizm Rehberliği'!I52))</f>
        <v/>
      </c>
      <c r="L55" s="28" t="str">
        <f aca="false">IF($I55="","",MATCH($I55,{"08.00";"09.00";"10.00";"11.00";"12.00";"13.00";"14.00";"15.00";"16.00";"17.00"},0))</f>
        <v/>
      </c>
      <c r="M55" s="28" t="str">
        <f aca="false">IF(OR($L55="",$J55=""),"",$L55+$J55-1)</f>
        <v/>
      </c>
      <c r="N55" s="28" t="str">
        <f aca="false">IF($A55="","",IF(OR($L55="",$M55=""),"",IF($M55&gt;10,"⚠ Saat Taşıyor","")))</f>
        <v/>
      </c>
      <c r="O55" s="28" t="str">
        <f aca="false">IF($A55="","",IF(OR($G55="",$H55="",$L55=""),"",IF(SUMPRODUCT(($A$7:$A$606&lt;&gt;"")*($G$7:$G$606=$G55)*($H$7:$H$606=$H55)*(ROW($A$7:$A$606)&lt;&gt;55)*($L$7:$L$606&lt;=$M55)*($M$7:$M$606&gt;=$L55))&gt;0,"⚠ Çakışma","OK")))</f>
        <v/>
      </c>
      <c r="P55" s="28" t="str">
        <f aca="false">IF($A55="","",IF(OR($K55="",$H55="",$L55=""),"",IF(SUMPRODUCT(($A$7:$A$606&lt;&gt;"")*($K$7:$K$606=$K55)*($H$7:$H$606=$H55)*(ROW($A$7:$A$606)&lt;&gt;55)*($L$7:$L$606&lt;=$M55)*($M$7:$M$606&gt;=$L55))&gt;0,"⚠ Çakışma","OK")))</f>
        <v/>
      </c>
      <c r="Q55" s="28" t="str">
        <f aca="false">IF($A55="","",IF(OR($E55="",$H55="",$L55=""),"",IF(SUMPRODUCT(($A$7:$A$606&lt;&gt;"")*($E$7:$E$606=$E55)*($H$7:$H$606=$H55)*(ROW($A$7:$A$606)&lt;&gt;55)*($L$7:$L$606&lt;=$M55)*($M$7:$M$606&gt;=$L55))&gt;0,"⚠ Çakışma","OK")))</f>
        <v/>
      </c>
      <c r="R55" s="28" t="str">
        <f aca="false">IF($A55="","",IF(OR($N55&lt;&gt;"",$O55="⚠ Çakışma",$P55="⚠ Çakışma",$Q55="⚠ Çakışma"),"⚠ Kontrol Et","✓ Uygun"))</f>
        <v/>
      </c>
    </row>
    <row r="56" customFormat="false" ht="13.5" hidden="false" customHeight="true" outlineLevel="0" collapsed="false">
      <c r="A56" s="28" t="str">
        <f aca="false">IF('1-Turizm Rehberliği'!A53="","","Turizm Rehberliği")</f>
        <v/>
      </c>
      <c r="B56" s="28" t="str">
        <f aca="false">IF($A56="","",IF('1-Turizm Rehberliği'!A53="","",'1-Turizm Rehberliği'!A53))</f>
        <v/>
      </c>
      <c r="C56" s="29" t="str">
        <f aca="false">IF($A56="","",IF('1-Turizm Rehberliği'!B53="","",'1-Turizm Rehberliği'!B53))</f>
        <v/>
      </c>
      <c r="D56" s="28" t="str">
        <f aca="false">IF($A56="","",IF('1-Turizm Rehberliği'!C53="","",'1-Turizm Rehberliği'!C53))</f>
        <v/>
      </c>
      <c r="E56" s="28" t="str">
        <f aca="false">IF($A56="","",$A56&amp;"-"&amp;$D56)</f>
        <v/>
      </c>
      <c r="F56" s="28" t="str">
        <f aca="false">IF($A56="","",IF('1-Turizm Rehberliği'!D53="","",'1-Turizm Rehberliği'!D53))</f>
        <v/>
      </c>
      <c r="G56" s="28" t="str">
        <f aca="false">IF($A56="","",IF('1-Turizm Rehberliği'!E53="","",'1-Turizm Rehberliği'!E53))</f>
        <v/>
      </c>
      <c r="H56" s="28" t="str">
        <f aca="false">IF($A56="","",IF('1-Turizm Rehberliği'!F53="","",'1-Turizm Rehberliği'!F53))</f>
        <v/>
      </c>
      <c r="I56" s="28" t="str">
        <f aca="false">IF($A56="","",IF('1-Turizm Rehberliği'!G53="","",'1-Turizm Rehberliği'!G53))</f>
        <v/>
      </c>
      <c r="J56" s="28" t="str">
        <f aca="false">IF($A56="","",IF('1-Turizm Rehberliği'!H53="","",'1-Turizm Rehberliği'!H53))</f>
        <v/>
      </c>
      <c r="K56" s="28" t="str">
        <f aca="false">IF($A56="","",IF('1-Turizm Rehberliği'!I53="","",'1-Turizm Rehberliği'!I53))</f>
        <v/>
      </c>
      <c r="L56" s="28" t="str">
        <f aca="false">IF($I56="","",MATCH($I56,{"08.00";"09.00";"10.00";"11.00";"12.00";"13.00";"14.00";"15.00";"16.00";"17.00"},0))</f>
        <v/>
      </c>
      <c r="M56" s="28" t="str">
        <f aca="false">IF(OR($L56="",$J56=""),"",$L56+$J56-1)</f>
        <v/>
      </c>
      <c r="N56" s="28" t="str">
        <f aca="false">IF($A56="","",IF(OR($L56="",$M56=""),"",IF($M56&gt;10,"⚠ Saat Taşıyor","")))</f>
        <v/>
      </c>
      <c r="O56" s="28" t="str">
        <f aca="false">IF($A56="","",IF(OR($G56="",$H56="",$L56=""),"",IF(SUMPRODUCT(($A$7:$A$606&lt;&gt;"")*($G$7:$G$606=$G56)*($H$7:$H$606=$H56)*(ROW($A$7:$A$606)&lt;&gt;56)*($L$7:$L$606&lt;=$M56)*($M$7:$M$606&gt;=$L56))&gt;0,"⚠ Çakışma","OK")))</f>
        <v/>
      </c>
      <c r="P56" s="28" t="str">
        <f aca="false">IF($A56="","",IF(OR($K56="",$H56="",$L56=""),"",IF(SUMPRODUCT(($A$7:$A$606&lt;&gt;"")*($K$7:$K$606=$K56)*($H$7:$H$606=$H56)*(ROW($A$7:$A$606)&lt;&gt;56)*($L$7:$L$606&lt;=$M56)*($M$7:$M$606&gt;=$L56))&gt;0,"⚠ Çakışma","OK")))</f>
        <v/>
      </c>
      <c r="Q56" s="28" t="str">
        <f aca="false">IF($A56="","",IF(OR($E56="",$H56="",$L56=""),"",IF(SUMPRODUCT(($A$7:$A$606&lt;&gt;"")*($E$7:$E$606=$E56)*($H$7:$H$606=$H56)*(ROW($A$7:$A$606)&lt;&gt;56)*($L$7:$L$606&lt;=$M56)*($M$7:$M$606&gt;=$L56))&gt;0,"⚠ Çakışma","OK")))</f>
        <v/>
      </c>
      <c r="R56" s="28" t="str">
        <f aca="false">IF($A56="","",IF(OR($N56&lt;&gt;"",$O56="⚠ Çakışma",$P56="⚠ Çakışma",$Q56="⚠ Çakışma"),"⚠ Kontrol Et","✓ Uygun"))</f>
        <v/>
      </c>
    </row>
    <row r="57" customFormat="false" ht="13.5" hidden="false" customHeight="true" outlineLevel="0" collapsed="false">
      <c r="A57" s="28" t="str">
        <f aca="false">IF('1-Turizm Rehberliği'!A54="","","Turizm Rehberliği")</f>
        <v/>
      </c>
      <c r="B57" s="28" t="str">
        <f aca="false">IF($A57="","",IF('1-Turizm Rehberliği'!A54="","",'1-Turizm Rehberliği'!A54))</f>
        <v/>
      </c>
      <c r="C57" s="29" t="str">
        <f aca="false">IF($A57="","",IF('1-Turizm Rehberliği'!B54="","",'1-Turizm Rehberliği'!B54))</f>
        <v/>
      </c>
      <c r="D57" s="28" t="str">
        <f aca="false">IF($A57="","",IF('1-Turizm Rehberliği'!C54="","",'1-Turizm Rehberliği'!C54))</f>
        <v/>
      </c>
      <c r="E57" s="28" t="str">
        <f aca="false">IF($A57="","",$A57&amp;"-"&amp;$D57)</f>
        <v/>
      </c>
      <c r="F57" s="28" t="str">
        <f aca="false">IF($A57="","",IF('1-Turizm Rehberliği'!D54="","",'1-Turizm Rehberliği'!D54))</f>
        <v/>
      </c>
      <c r="G57" s="28" t="str">
        <f aca="false">IF($A57="","",IF('1-Turizm Rehberliği'!E54="","",'1-Turizm Rehberliği'!E54))</f>
        <v/>
      </c>
      <c r="H57" s="28" t="str">
        <f aca="false">IF($A57="","",IF('1-Turizm Rehberliği'!F54="","",'1-Turizm Rehberliği'!F54))</f>
        <v/>
      </c>
      <c r="I57" s="28" t="str">
        <f aca="false">IF($A57="","",IF('1-Turizm Rehberliği'!G54="","",'1-Turizm Rehberliği'!G54))</f>
        <v/>
      </c>
      <c r="J57" s="28" t="str">
        <f aca="false">IF($A57="","",IF('1-Turizm Rehberliği'!H54="","",'1-Turizm Rehberliği'!H54))</f>
        <v/>
      </c>
      <c r="K57" s="28" t="str">
        <f aca="false">IF($A57="","",IF('1-Turizm Rehberliği'!I54="","",'1-Turizm Rehberliği'!I54))</f>
        <v/>
      </c>
      <c r="L57" s="28" t="str">
        <f aca="false">IF($I57="","",MATCH($I57,{"08.00";"09.00";"10.00";"11.00";"12.00";"13.00";"14.00";"15.00";"16.00";"17.00"},0))</f>
        <v/>
      </c>
      <c r="M57" s="28" t="str">
        <f aca="false">IF(OR($L57="",$J57=""),"",$L57+$J57-1)</f>
        <v/>
      </c>
      <c r="N57" s="28" t="str">
        <f aca="false">IF($A57="","",IF(OR($L57="",$M57=""),"",IF($M57&gt;10,"⚠ Saat Taşıyor","")))</f>
        <v/>
      </c>
      <c r="O57" s="28" t="str">
        <f aca="false">IF($A57="","",IF(OR($G57="",$H57="",$L57=""),"",IF(SUMPRODUCT(($A$7:$A$606&lt;&gt;"")*($G$7:$G$606=$G57)*($H$7:$H$606=$H57)*(ROW($A$7:$A$606)&lt;&gt;57)*($L$7:$L$606&lt;=$M57)*($M$7:$M$606&gt;=$L57))&gt;0,"⚠ Çakışma","OK")))</f>
        <v/>
      </c>
      <c r="P57" s="28" t="str">
        <f aca="false">IF($A57="","",IF(OR($K57="",$H57="",$L57=""),"",IF(SUMPRODUCT(($A$7:$A$606&lt;&gt;"")*($K$7:$K$606=$K57)*($H$7:$H$606=$H57)*(ROW($A$7:$A$606)&lt;&gt;57)*($L$7:$L$606&lt;=$M57)*($M$7:$M$606&gt;=$L57))&gt;0,"⚠ Çakışma","OK")))</f>
        <v/>
      </c>
      <c r="Q57" s="28" t="str">
        <f aca="false">IF($A57="","",IF(OR($E57="",$H57="",$L57=""),"",IF(SUMPRODUCT(($A$7:$A$606&lt;&gt;"")*($E$7:$E$606=$E57)*($H$7:$H$606=$H57)*(ROW($A$7:$A$606)&lt;&gt;57)*($L$7:$L$606&lt;=$M57)*($M$7:$M$606&gt;=$L57))&gt;0,"⚠ Çakışma","OK")))</f>
        <v/>
      </c>
      <c r="R57" s="28" t="str">
        <f aca="false">IF($A57="","",IF(OR($N57&lt;&gt;"",$O57="⚠ Çakışma",$P57="⚠ Çakışma",$Q57="⚠ Çakışma"),"⚠ Kontrol Et","✓ Uygun"))</f>
        <v/>
      </c>
    </row>
    <row r="58" customFormat="false" ht="13.5" hidden="false" customHeight="true" outlineLevel="0" collapsed="false">
      <c r="A58" s="28" t="str">
        <f aca="false">IF('1-Turizm Rehberliği'!A55="","","Turizm Rehberliği")</f>
        <v/>
      </c>
      <c r="B58" s="28" t="str">
        <f aca="false">IF($A58="","",IF('1-Turizm Rehberliği'!A55="","",'1-Turizm Rehberliği'!A55))</f>
        <v/>
      </c>
      <c r="C58" s="29" t="str">
        <f aca="false">IF($A58="","",IF('1-Turizm Rehberliği'!B55="","",'1-Turizm Rehberliği'!B55))</f>
        <v/>
      </c>
      <c r="D58" s="28" t="str">
        <f aca="false">IF($A58="","",IF('1-Turizm Rehberliği'!C55="","",'1-Turizm Rehberliği'!C55))</f>
        <v/>
      </c>
      <c r="E58" s="28" t="str">
        <f aca="false">IF($A58="","",$A58&amp;"-"&amp;$D58)</f>
        <v/>
      </c>
      <c r="F58" s="28" t="str">
        <f aca="false">IF($A58="","",IF('1-Turizm Rehberliği'!D55="","",'1-Turizm Rehberliği'!D55))</f>
        <v/>
      </c>
      <c r="G58" s="28" t="str">
        <f aca="false">IF($A58="","",IF('1-Turizm Rehberliği'!E55="","",'1-Turizm Rehberliği'!E55))</f>
        <v/>
      </c>
      <c r="H58" s="28" t="str">
        <f aca="false">IF($A58="","",IF('1-Turizm Rehberliği'!F55="","",'1-Turizm Rehberliği'!F55))</f>
        <v/>
      </c>
      <c r="I58" s="28" t="str">
        <f aca="false">IF($A58="","",IF('1-Turizm Rehberliği'!G55="","",'1-Turizm Rehberliği'!G55))</f>
        <v/>
      </c>
      <c r="J58" s="28" t="str">
        <f aca="false">IF($A58="","",IF('1-Turizm Rehberliği'!H55="","",'1-Turizm Rehberliği'!H55))</f>
        <v/>
      </c>
      <c r="K58" s="28" t="str">
        <f aca="false">IF($A58="","",IF('1-Turizm Rehberliği'!I55="","",'1-Turizm Rehberliği'!I55))</f>
        <v/>
      </c>
      <c r="L58" s="28" t="str">
        <f aca="false">IF($I58="","",MATCH($I58,{"08.00";"09.00";"10.00";"11.00";"12.00";"13.00";"14.00";"15.00";"16.00";"17.00"},0))</f>
        <v/>
      </c>
      <c r="M58" s="28" t="str">
        <f aca="false">IF(OR($L58="",$J58=""),"",$L58+$J58-1)</f>
        <v/>
      </c>
      <c r="N58" s="28" t="str">
        <f aca="false">IF($A58="","",IF(OR($L58="",$M58=""),"",IF($M58&gt;10,"⚠ Saat Taşıyor","")))</f>
        <v/>
      </c>
      <c r="O58" s="28" t="str">
        <f aca="false">IF($A58="","",IF(OR($G58="",$H58="",$L58=""),"",IF(SUMPRODUCT(($A$7:$A$606&lt;&gt;"")*($G$7:$G$606=$G58)*($H$7:$H$606=$H58)*(ROW($A$7:$A$606)&lt;&gt;58)*($L$7:$L$606&lt;=$M58)*($M$7:$M$606&gt;=$L58))&gt;0,"⚠ Çakışma","OK")))</f>
        <v/>
      </c>
      <c r="P58" s="28" t="str">
        <f aca="false">IF($A58="","",IF(OR($K58="",$H58="",$L58=""),"",IF(SUMPRODUCT(($A$7:$A$606&lt;&gt;"")*($K$7:$K$606=$K58)*($H$7:$H$606=$H58)*(ROW($A$7:$A$606)&lt;&gt;58)*($L$7:$L$606&lt;=$M58)*($M$7:$M$606&gt;=$L58))&gt;0,"⚠ Çakışma","OK")))</f>
        <v/>
      </c>
      <c r="Q58" s="28" t="str">
        <f aca="false">IF($A58="","",IF(OR($E58="",$H58="",$L58=""),"",IF(SUMPRODUCT(($A$7:$A$606&lt;&gt;"")*($E$7:$E$606=$E58)*($H$7:$H$606=$H58)*(ROW($A$7:$A$606)&lt;&gt;58)*($L$7:$L$606&lt;=$M58)*($M$7:$M$606&gt;=$L58))&gt;0,"⚠ Çakışma","OK")))</f>
        <v/>
      </c>
      <c r="R58" s="28" t="str">
        <f aca="false">IF($A58="","",IF(OR($N58&lt;&gt;"",$O58="⚠ Çakışma",$P58="⚠ Çakışma",$Q58="⚠ Çakışma"),"⚠ Kontrol Et","✓ Uygun"))</f>
        <v/>
      </c>
    </row>
    <row r="59" customFormat="false" ht="13.5" hidden="false" customHeight="true" outlineLevel="0" collapsed="false">
      <c r="A59" s="28" t="str">
        <f aca="false">IF('1-Turizm Rehberliği'!A56="","","Turizm Rehberliği")</f>
        <v/>
      </c>
      <c r="B59" s="28" t="str">
        <f aca="false">IF($A59="","",IF('1-Turizm Rehberliği'!A56="","",'1-Turizm Rehberliği'!A56))</f>
        <v/>
      </c>
      <c r="C59" s="29" t="str">
        <f aca="false">IF($A59="","",IF('1-Turizm Rehberliği'!B56="","",'1-Turizm Rehberliği'!B56))</f>
        <v/>
      </c>
      <c r="D59" s="28" t="str">
        <f aca="false">IF($A59="","",IF('1-Turizm Rehberliği'!C56="","",'1-Turizm Rehberliği'!C56))</f>
        <v/>
      </c>
      <c r="E59" s="28" t="str">
        <f aca="false">IF($A59="","",$A59&amp;"-"&amp;$D59)</f>
        <v/>
      </c>
      <c r="F59" s="28" t="str">
        <f aca="false">IF($A59="","",IF('1-Turizm Rehberliği'!D56="","",'1-Turizm Rehberliği'!D56))</f>
        <v/>
      </c>
      <c r="G59" s="28" t="str">
        <f aca="false">IF($A59="","",IF('1-Turizm Rehberliği'!E56="","",'1-Turizm Rehberliği'!E56))</f>
        <v/>
      </c>
      <c r="H59" s="28" t="str">
        <f aca="false">IF($A59="","",IF('1-Turizm Rehberliği'!F56="","",'1-Turizm Rehberliği'!F56))</f>
        <v/>
      </c>
      <c r="I59" s="28" t="str">
        <f aca="false">IF($A59="","",IF('1-Turizm Rehberliği'!G56="","",'1-Turizm Rehberliği'!G56))</f>
        <v/>
      </c>
      <c r="J59" s="28" t="str">
        <f aca="false">IF($A59="","",IF('1-Turizm Rehberliği'!H56="","",'1-Turizm Rehberliği'!H56))</f>
        <v/>
      </c>
      <c r="K59" s="28" t="str">
        <f aca="false">IF($A59="","",IF('1-Turizm Rehberliği'!I56="","",'1-Turizm Rehberliği'!I56))</f>
        <v/>
      </c>
      <c r="L59" s="28" t="str">
        <f aca="false">IF($I59="","",MATCH($I59,{"08.00";"09.00";"10.00";"11.00";"12.00";"13.00";"14.00";"15.00";"16.00";"17.00"},0))</f>
        <v/>
      </c>
      <c r="M59" s="28" t="str">
        <f aca="false">IF(OR($L59="",$J59=""),"",$L59+$J59-1)</f>
        <v/>
      </c>
      <c r="N59" s="28" t="str">
        <f aca="false">IF($A59="","",IF(OR($L59="",$M59=""),"",IF($M59&gt;10,"⚠ Saat Taşıyor","")))</f>
        <v/>
      </c>
      <c r="O59" s="28" t="str">
        <f aca="false">IF($A59="","",IF(OR($G59="",$H59="",$L59=""),"",IF(SUMPRODUCT(($A$7:$A$606&lt;&gt;"")*($G$7:$G$606=$G59)*($H$7:$H$606=$H59)*(ROW($A$7:$A$606)&lt;&gt;59)*($L$7:$L$606&lt;=$M59)*($M$7:$M$606&gt;=$L59))&gt;0,"⚠ Çakışma","OK")))</f>
        <v/>
      </c>
      <c r="P59" s="28" t="str">
        <f aca="false">IF($A59="","",IF(OR($K59="",$H59="",$L59=""),"",IF(SUMPRODUCT(($A$7:$A$606&lt;&gt;"")*($K$7:$K$606=$K59)*($H$7:$H$606=$H59)*(ROW($A$7:$A$606)&lt;&gt;59)*($L$7:$L$606&lt;=$M59)*($M$7:$M$606&gt;=$L59))&gt;0,"⚠ Çakışma","OK")))</f>
        <v/>
      </c>
      <c r="Q59" s="28" t="str">
        <f aca="false">IF($A59="","",IF(OR($E59="",$H59="",$L59=""),"",IF(SUMPRODUCT(($A$7:$A$606&lt;&gt;"")*($E$7:$E$606=$E59)*($H$7:$H$606=$H59)*(ROW($A$7:$A$606)&lt;&gt;59)*($L$7:$L$606&lt;=$M59)*($M$7:$M$606&gt;=$L59))&gt;0,"⚠ Çakışma","OK")))</f>
        <v/>
      </c>
      <c r="R59" s="28" t="str">
        <f aca="false">IF($A59="","",IF(OR($N59&lt;&gt;"",$O59="⚠ Çakışma",$P59="⚠ Çakışma",$Q59="⚠ Çakışma"),"⚠ Kontrol Et","✓ Uygun"))</f>
        <v/>
      </c>
    </row>
    <row r="60" customFormat="false" ht="13.5" hidden="false" customHeight="true" outlineLevel="0" collapsed="false">
      <c r="A60" s="28" t="str">
        <f aca="false">IF('1-Turizm Rehberliği'!A57="","","Turizm Rehberliği")</f>
        <v/>
      </c>
      <c r="B60" s="28" t="str">
        <f aca="false">IF($A60="","",IF('1-Turizm Rehberliği'!A57="","",'1-Turizm Rehberliği'!A57))</f>
        <v/>
      </c>
      <c r="C60" s="29" t="str">
        <f aca="false">IF($A60="","",IF('1-Turizm Rehberliği'!B57="","",'1-Turizm Rehberliği'!B57))</f>
        <v/>
      </c>
      <c r="D60" s="28" t="str">
        <f aca="false">IF($A60="","",IF('1-Turizm Rehberliği'!C57="","",'1-Turizm Rehberliği'!C57))</f>
        <v/>
      </c>
      <c r="E60" s="28" t="str">
        <f aca="false">IF($A60="","",$A60&amp;"-"&amp;$D60)</f>
        <v/>
      </c>
      <c r="F60" s="28" t="str">
        <f aca="false">IF($A60="","",IF('1-Turizm Rehberliği'!D57="","",'1-Turizm Rehberliği'!D57))</f>
        <v/>
      </c>
      <c r="G60" s="28" t="str">
        <f aca="false">IF($A60="","",IF('1-Turizm Rehberliği'!E57="","",'1-Turizm Rehberliği'!E57))</f>
        <v/>
      </c>
      <c r="H60" s="28" t="str">
        <f aca="false">IF($A60="","",IF('1-Turizm Rehberliği'!F57="","",'1-Turizm Rehberliği'!F57))</f>
        <v/>
      </c>
      <c r="I60" s="28" t="str">
        <f aca="false">IF($A60="","",IF('1-Turizm Rehberliği'!G57="","",'1-Turizm Rehberliği'!G57))</f>
        <v/>
      </c>
      <c r="J60" s="28" t="str">
        <f aca="false">IF($A60="","",IF('1-Turizm Rehberliği'!H57="","",'1-Turizm Rehberliği'!H57))</f>
        <v/>
      </c>
      <c r="K60" s="28" t="str">
        <f aca="false">IF($A60="","",IF('1-Turizm Rehberliği'!I57="","",'1-Turizm Rehberliği'!I57))</f>
        <v/>
      </c>
      <c r="L60" s="28" t="str">
        <f aca="false">IF($I60="","",MATCH($I60,{"08.00";"09.00";"10.00";"11.00";"12.00";"13.00";"14.00";"15.00";"16.00";"17.00"},0))</f>
        <v/>
      </c>
      <c r="M60" s="28" t="str">
        <f aca="false">IF(OR($L60="",$J60=""),"",$L60+$J60-1)</f>
        <v/>
      </c>
      <c r="N60" s="28" t="str">
        <f aca="false">IF($A60="","",IF(OR($L60="",$M60=""),"",IF($M60&gt;10,"⚠ Saat Taşıyor","")))</f>
        <v/>
      </c>
      <c r="O60" s="28" t="str">
        <f aca="false">IF($A60="","",IF(OR($G60="",$H60="",$L60=""),"",IF(SUMPRODUCT(($A$7:$A$606&lt;&gt;"")*($G$7:$G$606=$G60)*($H$7:$H$606=$H60)*(ROW($A$7:$A$606)&lt;&gt;60)*($L$7:$L$606&lt;=$M60)*($M$7:$M$606&gt;=$L60))&gt;0,"⚠ Çakışma","OK")))</f>
        <v/>
      </c>
      <c r="P60" s="28" t="str">
        <f aca="false">IF($A60="","",IF(OR($K60="",$H60="",$L60=""),"",IF(SUMPRODUCT(($A$7:$A$606&lt;&gt;"")*($K$7:$K$606=$K60)*($H$7:$H$606=$H60)*(ROW($A$7:$A$606)&lt;&gt;60)*($L$7:$L$606&lt;=$M60)*($M$7:$M$606&gt;=$L60))&gt;0,"⚠ Çakışma","OK")))</f>
        <v/>
      </c>
      <c r="Q60" s="28" t="str">
        <f aca="false">IF($A60="","",IF(OR($E60="",$H60="",$L60=""),"",IF(SUMPRODUCT(($A$7:$A$606&lt;&gt;"")*($E$7:$E$606=$E60)*($H$7:$H$606=$H60)*(ROW($A$7:$A$606)&lt;&gt;60)*($L$7:$L$606&lt;=$M60)*($M$7:$M$606&gt;=$L60))&gt;0,"⚠ Çakışma","OK")))</f>
        <v/>
      </c>
      <c r="R60" s="28" t="str">
        <f aca="false">IF($A60="","",IF(OR($N60&lt;&gt;"",$O60="⚠ Çakışma",$P60="⚠ Çakışma",$Q60="⚠ Çakışma"),"⚠ Kontrol Et","✓ Uygun"))</f>
        <v/>
      </c>
    </row>
    <row r="61" customFormat="false" ht="13.5" hidden="false" customHeight="true" outlineLevel="0" collapsed="false">
      <c r="A61" s="28" t="str">
        <f aca="false">IF('1-Turizm Rehberliği'!A58="","","Turizm Rehberliği")</f>
        <v/>
      </c>
      <c r="B61" s="28" t="str">
        <f aca="false">IF($A61="","",IF('1-Turizm Rehberliği'!A58="","",'1-Turizm Rehberliği'!A58))</f>
        <v/>
      </c>
      <c r="C61" s="29" t="str">
        <f aca="false">IF($A61="","",IF('1-Turizm Rehberliği'!B58="","",'1-Turizm Rehberliği'!B58))</f>
        <v/>
      </c>
      <c r="D61" s="28" t="str">
        <f aca="false">IF($A61="","",IF('1-Turizm Rehberliği'!C58="","",'1-Turizm Rehberliği'!C58))</f>
        <v/>
      </c>
      <c r="E61" s="28" t="str">
        <f aca="false">IF($A61="","",$A61&amp;"-"&amp;$D61)</f>
        <v/>
      </c>
      <c r="F61" s="28" t="str">
        <f aca="false">IF($A61="","",IF('1-Turizm Rehberliği'!D58="","",'1-Turizm Rehberliği'!D58))</f>
        <v/>
      </c>
      <c r="G61" s="28" t="str">
        <f aca="false">IF($A61="","",IF('1-Turizm Rehberliği'!E58="","",'1-Turizm Rehberliği'!E58))</f>
        <v/>
      </c>
      <c r="H61" s="28" t="str">
        <f aca="false">IF($A61="","",IF('1-Turizm Rehberliği'!F58="","",'1-Turizm Rehberliği'!F58))</f>
        <v/>
      </c>
      <c r="I61" s="28" t="str">
        <f aca="false">IF($A61="","",IF('1-Turizm Rehberliği'!G58="","",'1-Turizm Rehberliği'!G58))</f>
        <v/>
      </c>
      <c r="J61" s="28" t="str">
        <f aca="false">IF($A61="","",IF('1-Turizm Rehberliği'!H58="","",'1-Turizm Rehberliği'!H58))</f>
        <v/>
      </c>
      <c r="K61" s="28" t="str">
        <f aca="false">IF($A61="","",IF('1-Turizm Rehberliği'!I58="","",'1-Turizm Rehberliği'!I58))</f>
        <v/>
      </c>
      <c r="L61" s="28" t="str">
        <f aca="false">IF($I61="","",MATCH($I61,{"08.00";"09.00";"10.00";"11.00";"12.00";"13.00";"14.00";"15.00";"16.00";"17.00"},0))</f>
        <v/>
      </c>
      <c r="M61" s="28" t="str">
        <f aca="false">IF(OR($L61="",$J61=""),"",$L61+$J61-1)</f>
        <v/>
      </c>
      <c r="N61" s="28" t="str">
        <f aca="false">IF($A61="","",IF(OR($L61="",$M61=""),"",IF($M61&gt;10,"⚠ Saat Taşıyor","")))</f>
        <v/>
      </c>
      <c r="O61" s="28" t="str">
        <f aca="false">IF($A61="","",IF(OR($G61="",$H61="",$L61=""),"",IF(SUMPRODUCT(($A$7:$A$606&lt;&gt;"")*($G$7:$G$606=$G61)*($H$7:$H$606=$H61)*(ROW($A$7:$A$606)&lt;&gt;61)*($L$7:$L$606&lt;=$M61)*($M$7:$M$606&gt;=$L61))&gt;0,"⚠ Çakışma","OK")))</f>
        <v/>
      </c>
      <c r="P61" s="28" t="str">
        <f aca="false">IF($A61="","",IF(OR($K61="",$H61="",$L61=""),"",IF(SUMPRODUCT(($A$7:$A$606&lt;&gt;"")*($K$7:$K$606=$K61)*($H$7:$H$606=$H61)*(ROW($A$7:$A$606)&lt;&gt;61)*($L$7:$L$606&lt;=$M61)*($M$7:$M$606&gt;=$L61))&gt;0,"⚠ Çakışma","OK")))</f>
        <v/>
      </c>
      <c r="Q61" s="28" t="str">
        <f aca="false">IF($A61="","",IF(OR($E61="",$H61="",$L61=""),"",IF(SUMPRODUCT(($A$7:$A$606&lt;&gt;"")*($E$7:$E$606=$E61)*($H$7:$H$606=$H61)*(ROW($A$7:$A$606)&lt;&gt;61)*($L$7:$L$606&lt;=$M61)*($M$7:$M$606&gt;=$L61))&gt;0,"⚠ Çakışma","OK")))</f>
        <v/>
      </c>
      <c r="R61" s="28" t="str">
        <f aca="false">IF($A61="","",IF(OR($N61&lt;&gt;"",$O61="⚠ Çakışma",$P61="⚠ Çakışma",$Q61="⚠ Çakışma"),"⚠ Kontrol Et","✓ Uygun"))</f>
        <v/>
      </c>
    </row>
    <row r="62" customFormat="false" ht="13.5" hidden="false" customHeight="true" outlineLevel="0" collapsed="false">
      <c r="A62" s="28" t="str">
        <f aca="false">IF('1-Turizm Rehberliği'!A59="","","Turizm Rehberliği")</f>
        <v/>
      </c>
      <c r="B62" s="28" t="str">
        <f aca="false">IF($A62="","",IF('1-Turizm Rehberliği'!A59="","",'1-Turizm Rehberliği'!A59))</f>
        <v/>
      </c>
      <c r="C62" s="29" t="str">
        <f aca="false">IF($A62="","",IF('1-Turizm Rehberliği'!B59="","",'1-Turizm Rehberliği'!B59))</f>
        <v/>
      </c>
      <c r="D62" s="28" t="str">
        <f aca="false">IF($A62="","",IF('1-Turizm Rehberliği'!C59="","",'1-Turizm Rehberliği'!C59))</f>
        <v/>
      </c>
      <c r="E62" s="28" t="str">
        <f aca="false">IF($A62="","",$A62&amp;"-"&amp;$D62)</f>
        <v/>
      </c>
      <c r="F62" s="28" t="str">
        <f aca="false">IF($A62="","",IF('1-Turizm Rehberliği'!D59="","",'1-Turizm Rehberliği'!D59))</f>
        <v/>
      </c>
      <c r="G62" s="28" t="str">
        <f aca="false">IF($A62="","",IF('1-Turizm Rehberliği'!E59="","",'1-Turizm Rehberliği'!E59))</f>
        <v/>
      </c>
      <c r="H62" s="28" t="str">
        <f aca="false">IF($A62="","",IF('1-Turizm Rehberliği'!F59="","",'1-Turizm Rehberliği'!F59))</f>
        <v/>
      </c>
      <c r="I62" s="28" t="str">
        <f aca="false">IF($A62="","",IF('1-Turizm Rehberliği'!G59="","",'1-Turizm Rehberliği'!G59))</f>
        <v/>
      </c>
      <c r="J62" s="28" t="str">
        <f aca="false">IF($A62="","",IF('1-Turizm Rehberliği'!H59="","",'1-Turizm Rehberliği'!H59))</f>
        <v/>
      </c>
      <c r="K62" s="28" t="str">
        <f aca="false">IF($A62="","",IF('1-Turizm Rehberliği'!I59="","",'1-Turizm Rehberliği'!I59))</f>
        <v/>
      </c>
      <c r="L62" s="28" t="str">
        <f aca="false">IF($I62="","",MATCH($I62,{"08.00";"09.00";"10.00";"11.00";"12.00";"13.00";"14.00";"15.00";"16.00";"17.00"},0))</f>
        <v/>
      </c>
      <c r="M62" s="28" t="str">
        <f aca="false">IF(OR($L62="",$J62=""),"",$L62+$J62-1)</f>
        <v/>
      </c>
      <c r="N62" s="28" t="str">
        <f aca="false">IF($A62="","",IF(OR($L62="",$M62=""),"",IF($M62&gt;10,"⚠ Saat Taşıyor","")))</f>
        <v/>
      </c>
      <c r="O62" s="28" t="str">
        <f aca="false">IF($A62="","",IF(OR($G62="",$H62="",$L62=""),"",IF(SUMPRODUCT(($A$7:$A$606&lt;&gt;"")*($G$7:$G$606=$G62)*($H$7:$H$606=$H62)*(ROW($A$7:$A$606)&lt;&gt;62)*($L$7:$L$606&lt;=$M62)*($M$7:$M$606&gt;=$L62))&gt;0,"⚠ Çakışma","OK")))</f>
        <v/>
      </c>
      <c r="P62" s="28" t="str">
        <f aca="false">IF($A62="","",IF(OR($K62="",$H62="",$L62=""),"",IF(SUMPRODUCT(($A$7:$A$606&lt;&gt;"")*($K$7:$K$606=$K62)*($H$7:$H$606=$H62)*(ROW($A$7:$A$606)&lt;&gt;62)*($L$7:$L$606&lt;=$M62)*($M$7:$M$606&gt;=$L62))&gt;0,"⚠ Çakışma","OK")))</f>
        <v/>
      </c>
      <c r="Q62" s="28" t="str">
        <f aca="false">IF($A62="","",IF(OR($E62="",$H62="",$L62=""),"",IF(SUMPRODUCT(($A$7:$A$606&lt;&gt;"")*($E$7:$E$606=$E62)*($H$7:$H$606=$H62)*(ROW($A$7:$A$606)&lt;&gt;62)*($L$7:$L$606&lt;=$M62)*($M$7:$M$606&gt;=$L62))&gt;0,"⚠ Çakışma","OK")))</f>
        <v/>
      </c>
      <c r="R62" s="28" t="str">
        <f aca="false">IF($A62="","",IF(OR($N62&lt;&gt;"",$O62="⚠ Çakışma",$P62="⚠ Çakışma",$Q62="⚠ Çakışma"),"⚠ Kontrol Et","✓ Uygun"))</f>
        <v/>
      </c>
    </row>
    <row r="63" customFormat="false" ht="13.5" hidden="false" customHeight="true" outlineLevel="0" collapsed="false">
      <c r="A63" s="28" t="str">
        <f aca="false">IF('1-Turizm Rehberliği'!A60="","","Turizm Rehberliği")</f>
        <v/>
      </c>
      <c r="B63" s="28" t="str">
        <f aca="false">IF($A63="","",IF('1-Turizm Rehberliği'!A60="","",'1-Turizm Rehberliği'!A60))</f>
        <v/>
      </c>
      <c r="C63" s="29" t="str">
        <f aca="false">IF($A63="","",IF('1-Turizm Rehberliği'!B60="","",'1-Turizm Rehberliği'!B60))</f>
        <v/>
      </c>
      <c r="D63" s="28" t="str">
        <f aca="false">IF($A63="","",IF('1-Turizm Rehberliği'!C60="","",'1-Turizm Rehberliği'!C60))</f>
        <v/>
      </c>
      <c r="E63" s="28" t="str">
        <f aca="false">IF($A63="","",$A63&amp;"-"&amp;$D63)</f>
        <v/>
      </c>
      <c r="F63" s="28" t="str">
        <f aca="false">IF($A63="","",IF('1-Turizm Rehberliği'!D60="","",'1-Turizm Rehberliği'!D60))</f>
        <v/>
      </c>
      <c r="G63" s="28" t="str">
        <f aca="false">IF($A63="","",IF('1-Turizm Rehberliği'!E60="","",'1-Turizm Rehberliği'!E60))</f>
        <v/>
      </c>
      <c r="H63" s="28" t="str">
        <f aca="false">IF($A63="","",IF('1-Turizm Rehberliği'!F60="","",'1-Turizm Rehberliği'!F60))</f>
        <v/>
      </c>
      <c r="I63" s="28" t="str">
        <f aca="false">IF($A63="","",IF('1-Turizm Rehberliği'!G60="","",'1-Turizm Rehberliği'!G60))</f>
        <v/>
      </c>
      <c r="J63" s="28" t="str">
        <f aca="false">IF($A63="","",IF('1-Turizm Rehberliği'!H60="","",'1-Turizm Rehberliği'!H60))</f>
        <v/>
      </c>
      <c r="K63" s="28" t="str">
        <f aca="false">IF($A63="","",IF('1-Turizm Rehberliği'!I60="","",'1-Turizm Rehberliği'!I60))</f>
        <v/>
      </c>
      <c r="L63" s="28" t="str">
        <f aca="false">IF($I63="","",MATCH($I63,{"08.00";"09.00";"10.00";"11.00";"12.00";"13.00";"14.00";"15.00";"16.00";"17.00"},0))</f>
        <v/>
      </c>
      <c r="M63" s="28" t="str">
        <f aca="false">IF(OR($L63="",$J63=""),"",$L63+$J63-1)</f>
        <v/>
      </c>
      <c r="N63" s="28" t="str">
        <f aca="false">IF($A63="","",IF(OR($L63="",$M63=""),"",IF($M63&gt;10,"⚠ Saat Taşıyor","")))</f>
        <v/>
      </c>
      <c r="O63" s="28" t="str">
        <f aca="false">IF($A63="","",IF(OR($G63="",$H63="",$L63=""),"",IF(SUMPRODUCT(($A$7:$A$606&lt;&gt;"")*($G$7:$G$606=$G63)*($H$7:$H$606=$H63)*(ROW($A$7:$A$606)&lt;&gt;63)*($L$7:$L$606&lt;=$M63)*($M$7:$M$606&gt;=$L63))&gt;0,"⚠ Çakışma","OK")))</f>
        <v/>
      </c>
      <c r="P63" s="28" t="str">
        <f aca="false">IF($A63="","",IF(OR($K63="",$H63="",$L63=""),"",IF(SUMPRODUCT(($A$7:$A$606&lt;&gt;"")*($K$7:$K$606=$K63)*($H$7:$H$606=$H63)*(ROW($A$7:$A$606)&lt;&gt;63)*($L$7:$L$606&lt;=$M63)*($M$7:$M$606&gt;=$L63))&gt;0,"⚠ Çakışma","OK")))</f>
        <v/>
      </c>
      <c r="Q63" s="28" t="str">
        <f aca="false">IF($A63="","",IF(OR($E63="",$H63="",$L63=""),"",IF(SUMPRODUCT(($A$7:$A$606&lt;&gt;"")*($E$7:$E$606=$E63)*($H$7:$H$606=$H63)*(ROW($A$7:$A$606)&lt;&gt;63)*($L$7:$L$606&lt;=$M63)*($M$7:$M$606&gt;=$L63))&gt;0,"⚠ Çakışma","OK")))</f>
        <v/>
      </c>
      <c r="R63" s="28" t="str">
        <f aca="false">IF($A63="","",IF(OR($N63&lt;&gt;"",$O63="⚠ Çakışma",$P63="⚠ Çakışma",$Q63="⚠ Çakışma"),"⚠ Kontrol Et","✓ Uygun"))</f>
        <v/>
      </c>
    </row>
    <row r="64" customFormat="false" ht="13.5" hidden="false" customHeight="true" outlineLevel="0" collapsed="false">
      <c r="A64" s="28" t="str">
        <f aca="false">IF('1-Turizm Rehberliği'!A61="","","Turizm Rehberliği")</f>
        <v/>
      </c>
      <c r="B64" s="28" t="str">
        <f aca="false">IF($A64="","",IF('1-Turizm Rehberliği'!A61="","",'1-Turizm Rehberliği'!A61))</f>
        <v/>
      </c>
      <c r="C64" s="29" t="str">
        <f aca="false">IF($A64="","",IF('1-Turizm Rehberliği'!B61="","",'1-Turizm Rehberliği'!B61))</f>
        <v/>
      </c>
      <c r="D64" s="28" t="str">
        <f aca="false">IF($A64="","",IF('1-Turizm Rehberliği'!C61="","",'1-Turizm Rehberliği'!C61))</f>
        <v/>
      </c>
      <c r="E64" s="28" t="str">
        <f aca="false">IF($A64="","",$A64&amp;"-"&amp;$D64)</f>
        <v/>
      </c>
      <c r="F64" s="28" t="str">
        <f aca="false">IF($A64="","",IF('1-Turizm Rehberliği'!D61="","",'1-Turizm Rehberliği'!D61))</f>
        <v/>
      </c>
      <c r="G64" s="28" t="str">
        <f aca="false">IF($A64="","",IF('1-Turizm Rehberliği'!E61="","",'1-Turizm Rehberliği'!E61))</f>
        <v/>
      </c>
      <c r="H64" s="28" t="str">
        <f aca="false">IF($A64="","",IF('1-Turizm Rehberliği'!F61="","",'1-Turizm Rehberliği'!F61))</f>
        <v/>
      </c>
      <c r="I64" s="28" t="str">
        <f aca="false">IF($A64="","",IF('1-Turizm Rehberliği'!G61="","",'1-Turizm Rehberliği'!G61))</f>
        <v/>
      </c>
      <c r="J64" s="28" t="str">
        <f aca="false">IF($A64="","",IF('1-Turizm Rehberliği'!H61="","",'1-Turizm Rehberliği'!H61))</f>
        <v/>
      </c>
      <c r="K64" s="28" t="str">
        <f aca="false">IF($A64="","",IF('1-Turizm Rehberliği'!I61="","",'1-Turizm Rehberliği'!I61))</f>
        <v/>
      </c>
      <c r="L64" s="28" t="str">
        <f aca="false">IF($I64="","",MATCH($I64,{"08.00";"09.00";"10.00";"11.00";"12.00";"13.00";"14.00";"15.00";"16.00";"17.00"},0))</f>
        <v/>
      </c>
      <c r="M64" s="28" t="str">
        <f aca="false">IF(OR($L64="",$J64=""),"",$L64+$J64-1)</f>
        <v/>
      </c>
      <c r="N64" s="28" t="str">
        <f aca="false">IF($A64="","",IF(OR($L64="",$M64=""),"",IF($M64&gt;10,"⚠ Saat Taşıyor","")))</f>
        <v/>
      </c>
      <c r="O64" s="28" t="str">
        <f aca="false">IF($A64="","",IF(OR($G64="",$H64="",$L64=""),"",IF(SUMPRODUCT(($A$7:$A$606&lt;&gt;"")*($G$7:$G$606=$G64)*($H$7:$H$606=$H64)*(ROW($A$7:$A$606)&lt;&gt;64)*($L$7:$L$606&lt;=$M64)*($M$7:$M$606&gt;=$L64))&gt;0,"⚠ Çakışma","OK")))</f>
        <v/>
      </c>
      <c r="P64" s="28" t="str">
        <f aca="false">IF($A64="","",IF(OR($K64="",$H64="",$L64=""),"",IF(SUMPRODUCT(($A$7:$A$606&lt;&gt;"")*($K$7:$K$606=$K64)*($H$7:$H$606=$H64)*(ROW($A$7:$A$606)&lt;&gt;64)*($L$7:$L$606&lt;=$M64)*($M$7:$M$606&gt;=$L64))&gt;0,"⚠ Çakışma","OK")))</f>
        <v/>
      </c>
      <c r="Q64" s="28" t="str">
        <f aca="false">IF($A64="","",IF(OR($E64="",$H64="",$L64=""),"",IF(SUMPRODUCT(($A$7:$A$606&lt;&gt;"")*($E$7:$E$606=$E64)*($H$7:$H$606=$H64)*(ROW($A$7:$A$606)&lt;&gt;64)*($L$7:$L$606&lt;=$M64)*($M$7:$M$606&gt;=$L64))&gt;0,"⚠ Çakışma","OK")))</f>
        <v/>
      </c>
      <c r="R64" s="28" t="str">
        <f aca="false">IF($A64="","",IF(OR($N64&lt;&gt;"",$O64="⚠ Çakışma",$P64="⚠ Çakışma",$Q64="⚠ Çakışma"),"⚠ Kontrol Et","✓ Uygun"))</f>
        <v/>
      </c>
    </row>
    <row r="65" customFormat="false" ht="13.5" hidden="false" customHeight="true" outlineLevel="0" collapsed="false">
      <c r="A65" s="28" t="str">
        <f aca="false">IF('1-Turizm Rehberliği'!A62="","","Turizm Rehberliği")</f>
        <v/>
      </c>
      <c r="B65" s="28" t="str">
        <f aca="false">IF($A65="","",IF('1-Turizm Rehberliği'!A62="","",'1-Turizm Rehberliği'!A62))</f>
        <v/>
      </c>
      <c r="C65" s="29" t="str">
        <f aca="false">IF($A65="","",IF('1-Turizm Rehberliği'!B62="","",'1-Turizm Rehberliği'!B62))</f>
        <v/>
      </c>
      <c r="D65" s="28" t="str">
        <f aca="false">IF($A65="","",IF('1-Turizm Rehberliği'!C62="","",'1-Turizm Rehberliği'!C62))</f>
        <v/>
      </c>
      <c r="E65" s="28" t="str">
        <f aca="false">IF($A65="","",$A65&amp;"-"&amp;$D65)</f>
        <v/>
      </c>
      <c r="F65" s="28" t="str">
        <f aca="false">IF($A65="","",IF('1-Turizm Rehberliği'!D62="","",'1-Turizm Rehberliği'!D62))</f>
        <v/>
      </c>
      <c r="G65" s="28" t="str">
        <f aca="false">IF($A65="","",IF('1-Turizm Rehberliği'!E62="","",'1-Turizm Rehberliği'!E62))</f>
        <v/>
      </c>
      <c r="H65" s="28" t="str">
        <f aca="false">IF($A65="","",IF('1-Turizm Rehberliği'!F62="","",'1-Turizm Rehberliği'!F62))</f>
        <v/>
      </c>
      <c r="I65" s="28" t="str">
        <f aca="false">IF($A65="","",IF('1-Turizm Rehberliği'!G62="","",'1-Turizm Rehberliği'!G62))</f>
        <v/>
      </c>
      <c r="J65" s="28" t="str">
        <f aca="false">IF($A65="","",IF('1-Turizm Rehberliği'!H62="","",'1-Turizm Rehberliği'!H62))</f>
        <v/>
      </c>
      <c r="K65" s="28" t="str">
        <f aca="false">IF($A65="","",IF('1-Turizm Rehberliği'!I62="","",'1-Turizm Rehberliği'!I62))</f>
        <v/>
      </c>
      <c r="L65" s="28" t="str">
        <f aca="false">IF($I65="","",MATCH($I65,{"08.00";"09.00";"10.00";"11.00";"12.00";"13.00";"14.00";"15.00";"16.00";"17.00"},0))</f>
        <v/>
      </c>
      <c r="M65" s="28" t="str">
        <f aca="false">IF(OR($L65="",$J65=""),"",$L65+$J65-1)</f>
        <v/>
      </c>
      <c r="N65" s="28" t="str">
        <f aca="false">IF($A65="","",IF(OR($L65="",$M65=""),"",IF($M65&gt;10,"⚠ Saat Taşıyor","")))</f>
        <v/>
      </c>
      <c r="O65" s="28" t="str">
        <f aca="false">IF($A65="","",IF(OR($G65="",$H65="",$L65=""),"",IF(SUMPRODUCT(($A$7:$A$606&lt;&gt;"")*($G$7:$G$606=$G65)*($H$7:$H$606=$H65)*(ROW($A$7:$A$606)&lt;&gt;65)*($L$7:$L$606&lt;=$M65)*($M$7:$M$606&gt;=$L65))&gt;0,"⚠ Çakışma","OK")))</f>
        <v/>
      </c>
      <c r="P65" s="28" t="str">
        <f aca="false">IF($A65="","",IF(OR($K65="",$H65="",$L65=""),"",IF(SUMPRODUCT(($A$7:$A$606&lt;&gt;"")*($K$7:$K$606=$K65)*($H$7:$H$606=$H65)*(ROW($A$7:$A$606)&lt;&gt;65)*($L$7:$L$606&lt;=$M65)*($M$7:$M$606&gt;=$L65))&gt;0,"⚠ Çakışma","OK")))</f>
        <v/>
      </c>
      <c r="Q65" s="28" t="str">
        <f aca="false">IF($A65="","",IF(OR($E65="",$H65="",$L65=""),"",IF(SUMPRODUCT(($A$7:$A$606&lt;&gt;"")*($E$7:$E$606=$E65)*($H$7:$H$606=$H65)*(ROW($A$7:$A$606)&lt;&gt;65)*($L$7:$L$606&lt;=$M65)*($M$7:$M$606&gt;=$L65))&gt;0,"⚠ Çakışma","OK")))</f>
        <v/>
      </c>
      <c r="R65" s="28" t="str">
        <f aca="false">IF($A65="","",IF(OR($N65&lt;&gt;"",$O65="⚠ Çakışma",$P65="⚠ Çakışma",$Q65="⚠ Çakışma"),"⚠ Kontrol Et","✓ Uygun"))</f>
        <v/>
      </c>
    </row>
    <row r="66" customFormat="false" ht="13.5" hidden="false" customHeight="true" outlineLevel="0" collapsed="false">
      <c r="A66" s="28" t="str">
        <f aca="false">IF('1-Turizm Rehberliği'!A63="","","Turizm Rehberliği")</f>
        <v/>
      </c>
      <c r="B66" s="28" t="str">
        <f aca="false">IF($A66="","",IF('1-Turizm Rehberliği'!A63="","",'1-Turizm Rehberliği'!A63))</f>
        <v/>
      </c>
      <c r="C66" s="29" t="str">
        <f aca="false">IF($A66="","",IF('1-Turizm Rehberliği'!B63="","",'1-Turizm Rehberliği'!B63))</f>
        <v/>
      </c>
      <c r="D66" s="28" t="str">
        <f aca="false">IF($A66="","",IF('1-Turizm Rehberliği'!C63="","",'1-Turizm Rehberliği'!C63))</f>
        <v/>
      </c>
      <c r="E66" s="28" t="str">
        <f aca="false">IF($A66="","",$A66&amp;"-"&amp;$D66)</f>
        <v/>
      </c>
      <c r="F66" s="28" t="str">
        <f aca="false">IF($A66="","",IF('1-Turizm Rehberliği'!D63="","",'1-Turizm Rehberliği'!D63))</f>
        <v/>
      </c>
      <c r="G66" s="28" t="str">
        <f aca="false">IF($A66="","",IF('1-Turizm Rehberliği'!E63="","",'1-Turizm Rehberliği'!E63))</f>
        <v/>
      </c>
      <c r="H66" s="28" t="str">
        <f aca="false">IF($A66="","",IF('1-Turizm Rehberliği'!F63="","",'1-Turizm Rehberliği'!F63))</f>
        <v/>
      </c>
      <c r="I66" s="28" t="str">
        <f aca="false">IF($A66="","",IF('1-Turizm Rehberliği'!G63="","",'1-Turizm Rehberliği'!G63))</f>
        <v/>
      </c>
      <c r="J66" s="28" t="str">
        <f aca="false">IF($A66="","",IF('1-Turizm Rehberliği'!H63="","",'1-Turizm Rehberliği'!H63))</f>
        <v/>
      </c>
      <c r="K66" s="28" t="str">
        <f aca="false">IF($A66="","",IF('1-Turizm Rehberliği'!I63="","",'1-Turizm Rehberliği'!I63))</f>
        <v/>
      </c>
      <c r="L66" s="28" t="str">
        <f aca="false">IF($I66="","",MATCH($I66,{"08.00";"09.00";"10.00";"11.00";"12.00";"13.00";"14.00";"15.00";"16.00";"17.00"},0))</f>
        <v/>
      </c>
      <c r="M66" s="28" t="str">
        <f aca="false">IF(OR($L66="",$J66=""),"",$L66+$J66-1)</f>
        <v/>
      </c>
      <c r="N66" s="28" t="str">
        <f aca="false">IF($A66="","",IF(OR($L66="",$M66=""),"",IF($M66&gt;10,"⚠ Saat Taşıyor","")))</f>
        <v/>
      </c>
      <c r="O66" s="28" t="str">
        <f aca="false">IF($A66="","",IF(OR($G66="",$H66="",$L66=""),"",IF(SUMPRODUCT(($A$7:$A$606&lt;&gt;"")*($G$7:$G$606=$G66)*($H$7:$H$606=$H66)*(ROW($A$7:$A$606)&lt;&gt;66)*($L$7:$L$606&lt;=$M66)*($M$7:$M$606&gt;=$L66))&gt;0,"⚠ Çakışma","OK")))</f>
        <v/>
      </c>
      <c r="P66" s="28" t="str">
        <f aca="false">IF($A66="","",IF(OR($K66="",$H66="",$L66=""),"",IF(SUMPRODUCT(($A$7:$A$606&lt;&gt;"")*($K$7:$K$606=$K66)*($H$7:$H$606=$H66)*(ROW($A$7:$A$606)&lt;&gt;66)*($L$7:$L$606&lt;=$M66)*($M$7:$M$606&gt;=$L66))&gt;0,"⚠ Çakışma","OK")))</f>
        <v/>
      </c>
      <c r="Q66" s="28" t="str">
        <f aca="false">IF($A66="","",IF(OR($E66="",$H66="",$L66=""),"",IF(SUMPRODUCT(($A$7:$A$606&lt;&gt;"")*($E$7:$E$606=$E66)*($H$7:$H$606=$H66)*(ROW($A$7:$A$606)&lt;&gt;66)*($L$7:$L$606&lt;=$M66)*($M$7:$M$606&gt;=$L66))&gt;0,"⚠ Çakışma","OK")))</f>
        <v/>
      </c>
      <c r="R66" s="28" t="str">
        <f aca="false">IF($A66="","",IF(OR($N66&lt;&gt;"",$O66="⚠ Çakışma",$P66="⚠ Çakışma",$Q66="⚠ Çakışma"),"⚠ Kontrol Et","✓ Uygun"))</f>
        <v/>
      </c>
    </row>
    <row r="67" customFormat="false" ht="13.5" hidden="false" customHeight="true" outlineLevel="0" collapsed="false">
      <c r="A67" s="28" t="str">
        <f aca="false">IF('1-Turizm Rehberliği'!A64="","","Turizm Rehberliği")</f>
        <v/>
      </c>
      <c r="B67" s="28" t="str">
        <f aca="false">IF($A67="","",IF('1-Turizm Rehberliği'!A64="","",'1-Turizm Rehberliği'!A64))</f>
        <v/>
      </c>
      <c r="C67" s="29" t="str">
        <f aca="false">IF($A67="","",IF('1-Turizm Rehberliği'!B64="","",'1-Turizm Rehberliği'!B64))</f>
        <v/>
      </c>
      <c r="D67" s="28" t="str">
        <f aca="false">IF($A67="","",IF('1-Turizm Rehberliği'!C64="","",'1-Turizm Rehberliği'!C64))</f>
        <v/>
      </c>
      <c r="E67" s="28" t="str">
        <f aca="false">IF($A67="","",$A67&amp;"-"&amp;$D67)</f>
        <v/>
      </c>
      <c r="F67" s="28" t="str">
        <f aca="false">IF($A67="","",IF('1-Turizm Rehberliği'!D64="","",'1-Turizm Rehberliği'!D64))</f>
        <v/>
      </c>
      <c r="G67" s="28" t="str">
        <f aca="false">IF($A67="","",IF('1-Turizm Rehberliği'!E64="","",'1-Turizm Rehberliği'!E64))</f>
        <v/>
      </c>
      <c r="H67" s="28" t="str">
        <f aca="false">IF($A67="","",IF('1-Turizm Rehberliği'!F64="","",'1-Turizm Rehberliği'!F64))</f>
        <v/>
      </c>
      <c r="I67" s="28" t="str">
        <f aca="false">IF($A67="","",IF('1-Turizm Rehberliği'!G64="","",'1-Turizm Rehberliği'!G64))</f>
        <v/>
      </c>
      <c r="J67" s="28" t="str">
        <f aca="false">IF($A67="","",IF('1-Turizm Rehberliği'!H64="","",'1-Turizm Rehberliği'!H64))</f>
        <v/>
      </c>
      <c r="K67" s="28" t="str">
        <f aca="false">IF($A67="","",IF('1-Turizm Rehberliği'!I64="","",'1-Turizm Rehberliği'!I64))</f>
        <v/>
      </c>
      <c r="L67" s="28" t="str">
        <f aca="false">IF($I67="","",MATCH($I67,{"08.00";"09.00";"10.00";"11.00";"12.00";"13.00";"14.00";"15.00";"16.00";"17.00"},0))</f>
        <v/>
      </c>
      <c r="M67" s="28" t="str">
        <f aca="false">IF(OR($L67="",$J67=""),"",$L67+$J67-1)</f>
        <v/>
      </c>
      <c r="N67" s="28" t="str">
        <f aca="false">IF($A67="","",IF(OR($L67="",$M67=""),"",IF($M67&gt;10,"⚠ Saat Taşıyor","")))</f>
        <v/>
      </c>
      <c r="O67" s="28" t="str">
        <f aca="false">IF($A67="","",IF(OR($G67="",$H67="",$L67=""),"",IF(SUMPRODUCT(($A$7:$A$606&lt;&gt;"")*($G$7:$G$606=$G67)*($H$7:$H$606=$H67)*(ROW($A$7:$A$606)&lt;&gt;67)*($L$7:$L$606&lt;=$M67)*($M$7:$M$606&gt;=$L67))&gt;0,"⚠ Çakışma","OK")))</f>
        <v/>
      </c>
      <c r="P67" s="28" t="str">
        <f aca="false">IF($A67="","",IF(OR($K67="",$H67="",$L67=""),"",IF(SUMPRODUCT(($A$7:$A$606&lt;&gt;"")*($K$7:$K$606=$K67)*($H$7:$H$606=$H67)*(ROW($A$7:$A$606)&lt;&gt;67)*($L$7:$L$606&lt;=$M67)*($M$7:$M$606&gt;=$L67))&gt;0,"⚠ Çakışma","OK")))</f>
        <v/>
      </c>
      <c r="Q67" s="28" t="str">
        <f aca="false">IF($A67="","",IF(OR($E67="",$H67="",$L67=""),"",IF(SUMPRODUCT(($A$7:$A$606&lt;&gt;"")*($E$7:$E$606=$E67)*($H$7:$H$606=$H67)*(ROW($A$7:$A$606)&lt;&gt;67)*($L$7:$L$606&lt;=$M67)*($M$7:$M$606&gt;=$L67))&gt;0,"⚠ Çakışma","OK")))</f>
        <v/>
      </c>
      <c r="R67" s="28" t="str">
        <f aca="false">IF($A67="","",IF(OR($N67&lt;&gt;"",$O67="⚠ Çakışma",$P67="⚠ Çakışma",$Q67="⚠ Çakışma"),"⚠ Kontrol Et","✓ Uygun"))</f>
        <v/>
      </c>
    </row>
    <row r="68" customFormat="false" ht="13.5" hidden="false" customHeight="true" outlineLevel="0" collapsed="false">
      <c r="A68" s="28" t="str">
        <f aca="false">IF('1-Turizm Rehberliği'!A65="","","Turizm Rehberliği")</f>
        <v/>
      </c>
      <c r="B68" s="28" t="str">
        <f aca="false">IF($A68="","",IF('1-Turizm Rehberliği'!A65="","",'1-Turizm Rehberliği'!A65))</f>
        <v/>
      </c>
      <c r="C68" s="29" t="str">
        <f aca="false">IF($A68="","",IF('1-Turizm Rehberliği'!B65="","",'1-Turizm Rehberliği'!B65))</f>
        <v/>
      </c>
      <c r="D68" s="28" t="str">
        <f aca="false">IF($A68="","",IF('1-Turizm Rehberliği'!C65="","",'1-Turizm Rehberliği'!C65))</f>
        <v/>
      </c>
      <c r="E68" s="28" t="str">
        <f aca="false">IF($A68="","",$A68&amp;"-"&amp;$D68)</f>
        <v/>
      </c>
      <c r="F68" s="28" t="str">
        <f aca="false">IF($A68="","",IF('1-Turizm Rehberliği'!D65="","",'1-Turizm Rehberliği'!D65))</f>
        <v/>
      </c>
      <c r="G68" s="28" t="str">
        <f aca="false">IF($A68="","",IF('1-Turizm Rehberliği'!E65="","",'1-Turizm Rehberliği'!E65))</f>
        <v/>
      </c>
      <c r="H68" s="28" t="str">
        <f aca="false">IF($A68="","",IF('1-Turizm Rehberliği'!F65="","",'1-Turizm Rehberliği'!F65))</f>
        <v/>
      </c>
      <c r="I68" s="28" t="str">
        <f aca="false">IF($A68="","",IF('1-Turizm Rehberliği'!G65="","",'1-Turizm Rehberliği'!G65))</f>
        <v/>
      </c>
      <c r="J68" s="28" t="str">
        <f aca="false">IF($A68="","",IF('1-Turizm Rehberliği'!H65="","",'1-Turizm Rehberliği'!H65))</f>
        <v/>
      </c>
      <c r="K68" s="28" t="str">
        <f aca="false">IF($A68="","",IF('1-Turizm Rehberliği'!I65="","",'1-Turizm Rehberliği'!I65))</f>
        <v/>
      </c>
      <c r="L68" s="28" t="str">
        <f aca="false">IF($I68="","",MATCH($I68,{"08.00";"09.00";"10.00";"11.00";"12.00";"13.00";"14.00";"15.00";"16.00";"17.00"},0))</f>
        <v/>
      </c>
      <c r="M68" s="28" t="str">
        <f aca="false">IF(OR($L68="",$J68=""),"",$L68+$J68-1)</f>
        <v/>
      </c>
      <c r="N68" s="28" t="str">
        <f aca="false">IF($A68="","",IF(OR($L68="",$M68=""),"",IF($M68&gt;10,"⚠ Saat Taşıyor","")))</f>
        <v/>
      </c>
      <c r="O68" s="28" t="str">
        <f aca="false">IF($A68="","",IF(OR($G68="",$H68="",$L68=""),"",IF(SUMPRODUCT(($A$7:$A$606&lt;&gt;"")*($G$7:$G$606=$G68)*($H$7:$H$606=$H68)*(ROW($A$7:$A$606)&lt;&gt;68)*($L$7:$L$606&lt;=$M68)*($M$7:$M$606&gt;=$L68))&gt;0,"⚠ Çakışma","OK")))</f>
        <v/>
      </c>
      <c r="P68" s="28" t="str">
        <f aca="false">IF($A68="","",IF(OR($K68="",$H68="",$L68=""),"",IF(SUMPRODUCT(($A$7:$A$606&lt;&gt;"")*($K$7:$K$606=$K68)*($H$7:$H$606=$H68)*(ROW($A$7:$A$606)&lt;&gt;68)*($L$7:$L$606&lt;=$M68)*($M$7:$M$606&gt;=$L68))&gt;0,"⚠ Çakışma","OK")))</f>
        <v/>
      </c>
      <c r="Q68" s="28" t="str">
        <f aca="false">IF($A68="","",IF(OR($E68="",$H68="",$L68=""),"",IF(SUMPRODUCT(($A$7:$A$606&lt;&gt;"")*($E$7:$E$606=$E68)*($H$7:$H$606=$H68)*(ROW($A$7:$A$606)&lt;&gt;68)*($L$7:$L$606&lt;=$M68)*($M$7:$M$606&gt;=$L68))&gt;0,"⚠ Çakışma","OK")))</f>
        <v/>
      </c>
      <c r="R68" s="28" t="str">
        <f aca="false">IF($A68="","",IF(OR($N68&lt;&gt;"",$O68="⚠ Çakışma",$P68="⚠ Çakışma",$Q68="⚠ Çakışma"),"⚠ Kontrol Et","✓ Uygun"))</f>
        <v/>
      </c>
    </row>
    <row r="69" customFormat="false" ht="13.5" hidden="false" customHeight="true" outlineLevel="0" collapsed="false">
      <c r="A69" s="28" t="str">
        <f aca="false">IF('1-Turizm Rehberliği'!A66="","","Turizm Rehberliği")</f>
        <v/>
      </c>
      <c r="B69" s="28" t="str">
        <f aca="false">IF($A69="","",IF('1-Turizm Rehberliği'!A66="","",'1-Turizm Rehberliği'!A66))</f>
        <v/>
      </c>
      <c r="C69" s="29" t="str">
        <f aca="false">IF($A69="","",IF('1-Turizm Rehberliği'!B66="","",'1-Turizm Rehberliği'!B66))</f>
        <v/>
      </c>
      <c r="D69" s="28" t="str">
        <f aca="false">IF($A69="","",IF('1-Turizm Rehberliği'!C66="","",'1-Turizm Rehberliği'!C66))</f>
        <v/>
      </c>
      <c r="E69" s="28" t="str">
        <f aca="false">IF($A69="","",$A69&amp;"-"&amp;$D69)</f>
        <v/>
      </c>
      <c r="F69" s="28" t="str">
        <f aca="false">IF($A69="","",IF('1-Turizm Rehberliği'!D66="","",'1-Turizm Rehberliği'!D66))</f>
        <v/>
      </c>
      <c r="G69" s="28" t="str">
        <f aca="false">IF($A69="","",IF('1-Turizm Rehberliği'!E66="","",'1-Turizm Rehberliği'!E66))</f>
        <v/>
      </c>
      <c r="H69" s="28" t="str">
        <f aca="false">IF($A69="","",IF('1-Turizm Rehberliği'!F66="","",'1-Turizm Rehberliği'!F66))</f>
        <v/>
      </c>
      <c r="I69" s="28" t="str">
        <f aca="false">IF($A69="","",IF('1-Turizm Rehberliği'!G66="","",'1-Turizm Rehberliği'!G66))</f>
        <v/>
      </c>
      <c r="J69" s="28" t="str">
        <f aca="false">IF($A69="","",IF('1-Turizm Rehberliği'!H66="","",'1-Turizm Rehberliği'!H66))</f>
        <v/>
      </c>
      <c r="K69" s="28" t="str">
        <f aca="false">IF($A69="","",IF('1-Turizm Rehberliği'!I66="","",'1-Turizm Rehberliği'!I66))</f>
        <v/>
      </c>
      <c r="L69" s="28" t="str">
        <f aca="false">IF($I69="","",MATCH($I69,{"08.00";"09.00";"10.00";"11.00";"12.00";"13.00";"14.00";"15.00";"16.00";"17.00"},0))</f>
        <v/>
      </c>
      <c r="M69" s="28" t="str">
        <f aca="false">IF(OR($L69="",$J69=""),"",$L69+$J69-1)</f>
        <v/>
      </c>
      <c r="N69" s="28" t="str">
        <f aca="false">IF($A69="","",IF(OR($L69="",$M69=""),"",IF($M69&gt;10,"⚠ Saat Taşıyor","")))</f>
        <v/>
      </c>
      <c r="O69" s="28" t="str">
        <f aca="false">IF($A69="","",IF(OR($G69="",$H69="",$L69=""),"",IF(SUMPRODUCT(($A$7:$A$606&lt;&gt;"")*($G$7:$G$606=$G69)*($H$7:$H$606=$H69)*(ROW($A$7:$A$606)&lt;&gt;69)*($L$7:$L$606&lt;=$M69)*($M$7:$M$606&gt;=$L69))&gt;0,"⚠ Çakışma","OK")))</f>
        <v/>
      </c>
      <c r="P69" s="28" t="str">
        <f aca="false">IF($A69="","",IF(OR($K69="",$H69="",$L69=""),"",IF(SUMPRODUCT(($A$7:$A$606&lt;&gt;"")*($K$7:$K$606=$K69)*($H$7:$H$606=$H69)*(ROW($A$7:$A$606)&lt;&gt;69)*($L$7:$L$606&lt;=$M69)*($M$7:$M$606&gt;=$L69))&gt;0,"⚠ Çakışma","OK")))</f>
        <v/>
      </c>
      <c r="Q69" s="28" t="str">
        <f aca="false">IF($A69="","",IF(OR($E69="",$H69="",$L69=""),"",IF(SUMPRODUCT(($A$7:$A$606&lt;&gt;"")*($E$7:$E$606=$E69)*($H$7:$H$606=$H69)*(ROW($A$7:$A$606)&lt;&gt;69)*($L$7:$L$606&lt;=$M69)*($M$7:$M$606&gt;=$L69))&gt;0,"⚠ Çakışma","OK")))</f>
        <v/>
      </c>
      <c r="R69" s="28" t="str">
        <f aca="false">IF($A69="","",IF(OR($N69&lt;&gt;"",$O69="⚠ Çakışma",$P69="⚠ Çakışma",$Q69="⚠ Çakışma"),"⚠ Kontrol Et","✓ Uygun"))</f>
        <v/>
      </c>
    </row>
    <row r="70" customFormat="false" ht="13.5" hidden="false" customHeight="true" outlineLevel="0" collapsed="false">
      <c r="A70" s="28" t="str">
        <f aca="false">IF('1-Turizm Rehberliği'!A67="","","Turizm Rehberliği")</f>
        <v/>
      </c>
      <c r="B70" s="28" t="str">
        <f aca="false">IF($A70="","",IF('1-Turizm Rehberliği'!A67="","",'1-Turizm Rehberliği'!A67))</f>
        <v/>
      </c>
      <c r="C70" s="29" t="str">
        <f aca="false">IF($A70="","",IF('1-Turizm Rehberliği'!B67="","",'1-Turizm Rehberliği'!B67))</f>
        <v/>
      </c>
      <c r="D70" s="28" t="str">
        <f aca="false">IF($A70="","",IF('1-Turizm Rehberliği'!C67="","",'1-Turizm Rehberliği'!C67))</f>
        <v/>
      </c>
      <c r="E70" s="28" t="str">
        <f aca="false">IF($A70="","",$A70&amp;"-"&amp;$D70)</f>
        <v/>
      </c>
      <c r="F70" s="28" t="str">
        <f aca="false">IF($A70="","",IF('1-Turizm Rehberliği'!D67="","",'1-Turizm Rehberliği'!D67))</f>
        <v/>
      </c>
      <c r="G70" s="28" t="str">
        <f aca="false">IF($A70="","",IF('1-Turizm Rehberliği'!E67="","",'1-Turizm Rehberliği'!E67))</f>
        <v/>
      </c>
      <c r="H70" s="28" t="str">
        <f aca="false">IF($A70="","",IF('1-Turizm Rehberliği'!F67="","",'1-Turizm Rehberliği'!F67))</f>
        <v/>
      </c>
      <c r="I70" s="28" t="str">
        <f aca="false">IF($A70="","",IF('1-Turizm Rehberliği'!G67="","",'1-Turizm Rehberliği'!G67))</f>
        <v/>
      </c>
      <c r="J70" s="28" t="str">
        <f aca="false">IF($A70="","",IF('1-Turizm Rehberliği'!H67="","",'1-Turizm Rehberliği'!H67))</f>
        <v/>
      </c>
      <c r="K70" s="28" t="str">
        <f aca="false">IF($A70="","",IF('1-Turizm Rehberliği'!I67="","",'1-Turizm Rehberliği'!I67))</f>
        <v/>
      </c>
      <c r="L70" s="28" t="str">
        <f aca="false">IF($I70="","",MATCH($I70,{"08.00";"09.00";"10.00";"11.00";"12.00";"13.00";"14.00";"15.00";"16.00";"17.00"},0))</f>
        <v/>
      </c>
      <c r="M70" s="28" t="str">
        <f aca="false">IF(OR($L70="",$J70=""),"",$L70+$J70-1)</f>
        <v/>
      </c>
      <c r="N70" s="28" t="str">
        <f aca="false">IF($A70="","",IF(OR($L70="",$M70=""),"",IF($M70&gt;10,"⚠ Saat Taşıyor","")))</f>
        <v/>
      </c>
      <c r="O70" s="28" t="str">
        <f aca="false">IF($A70="","",IF(OR($G70="",$H70="",$L70=""),"",IF(SUMPRODUCT(($A$7:$A$606&lt;&gt;"")*($G$7:$G$606=$G70)*($H$7:$H$606=$H70)*(ROW($A$7:$A$606)&lt;&gt;70)*($L$7:$L$606&lt;=$M70)*($M$7:$M$606&gt;=$L70))&gt;0,"⚠ Çakışma","OK")))</f>
        <v/>
      </c>
      <c r="P70" s="28" t="str">
        <f aca="false">IF($A70="","",IF(OR($K70="",$H70="",$L70=""),"",IF(SUMPRODUCT(($A$7:$A$606&lt;&gt;"")*($K$7:$K$606=$K70)*($H$7:$H$606=$H70)*(ROW($A$7:$A$606)&lt;&gt;70)*($L$7:$L$606&lt;=$M70)*($M$7:$M$606&gt;=$L70))&gt;0,"⚠ Çakışma","OK")))</f>
        <v/>
      </c>
      <c r="Q70" s="28" t="str">
        <f aca="false">IF($A70="","",IF(OR($E70="",$H70="",$L70=""),"",IF(SUMPRODUCT(($A$7:$A$606&lt;&gt;"")*($E$7:$E$606=$E70)*($H$7:$H$606=$H70)*(ROW($A$7:$A$606)&lt;&gt;70)*($L$7:$L$606&lt;=$M70)*($M$7:$M$606&gt;=$L70))&gt;0,"⚠ Çakışma","OK")))</f>
        <v/>
      </c>
      <c r="R70" s="28" t="str">
        <f aca="false">IF($A70="","",IF(OR($N70&lt;&gt;"",$O70="⚠ Çakışma",$P70="⚠ Çakışma",$Q70="⚠ Çakışma"),"⚠ Kontrol Et","✓ Uygun"))</f>
        <v/>
      </c>
    </row>
    <row r="71" customFormat="false" ht="13.5" hidden="false" customHeight="true" outlineLevel="0" collapsed="false">
      <c r="A71" s="28" t="str">
        <f aca="false">IF('1-Turizm Rehberliği'!A68="","","Turizm Rehberliği")</f>
        <v/>
      </c>
      <c r="B71" s="28" t="str">
        <f aca="false">IF($A71="","",IF('1-Turizm Rehberliği'!A68="","",'1-Turizm Rehberliği'!A68))</f>
        <v/>
      </c>
      <c r="C71" s="29" t="str">
        <f aca="false">IF($A71="","",IF('1-Turizm Rehberliği'!B68="","",'1-Turizm Rehberliği'!B68))</f>
        <v/>
      </c>
      <c r="D71" s="28" t="str">
        <f aca="false">IF($A71="","",IF('1-Turizm Rehberliği'!C68="","",'1-Turizm Rehberliği'!C68))</f>
        <v/>
      </c>
      <c r="E71" s="28" t="str">
        <f aca="false">IF($A71="","",$A71&amp;"-"&amp;$D71)</f>
        <v/>
      </c>
      <c r="F71" s="28" t="str">
        <f aca="false">IF($A71="","",IF('1-Turizm Rehberliği'!D68="","",'1-Turizm Rehberliği'!D68))</f>
        <v/>
      </c>
      <c r="G71" s="28" t="str">
        <f aca="false">IF($A71="","",IF('1-Turizm Rehberliği'!E68="","",'1-Turizm Rehberliği'!E68))</f>
        <v/>
      </c>
      <c r="H71" s="28" t="str">
        <f aca="false">IF($A71="","",IF('1-Turizm Rehberliği'!F68="","",'1-Turizm Rehberliği'!F68))</f>
        <v/>
      </c>
      <c r="I71" s="28" t="str">
        <f aca="false">IF($A71="","",IF('1-Turizm Rehberliği'!G68="","",'1-Turizm Rehberliği'!G68))</f>
        <v/>
      </c>
      <c r="J71" s="28" t="str">
        <f aca="false">IF($A71="","",IF('1-Turizm Rehberliği'!H68="","",'1-Turizm Rehberliği'!H68))</f>
        <v/>
      </c>
      <c r="K71" s="28" t="str">
        <f aca="false">IF($A71="","",IF('1-Turizm Rehberliği'!I68="","",'1-Turizm Rehberliği'!I68))</f>
        <v/>
      </c>
      <c r="L71" s="28" t="str">
        <f aca="false">IF($I71="","",MATCH($I71,{"08.00";"09.00";"10.00";"11.00";"12.00";"13.00";"14.00";"15.00";"16.00";"17.00"},0))</f>
        <v/>
      </c>
      <c r="M71" s="28" t="str">
        <f aca="false">IF(OR($L71="",$J71=""),"",$L71+$J71-1)</f>
        <v/>
      </c>
      <c r="N71" s="28" t="str">
        <f aca="false">IF($A71="","",IF(OR($L71="",$M71=""),"",IF($M71&gt;10,"⚠ Saat Taşıyor","")))</f>
        <v/>
      </c>
      <c r="O71" s="28" t="str">
        <f aca="false">IF($A71="","",IF(OR($G71="",$H71="",$L71=""),"",IF(SUMPRODUCT(($A$7:$A$606&lt;&gt;"")*($G$7:$G$606=$G71)*($H$7:$H$606=$H71)*(ROW($A$7:$A$606)&lt;&gt;71)*($L$7:$L$606&lt;=$M71)*($M$7:$M$606&gt;=$L71))&gt;0,"⚠ Çakışma","OK")))</f>
        <v/>
      </c>
      <c r="P71" s="28" t="str">
        <f aca="false">IF($A71="","",IF(OR($K71="",$H71="",$L71=""),"",IF(SUMPRODUCT(($A$7:$A$606&lt;&gt;"")*($K$7:$K$606=$K71)*($H$7:$H$606=$H71)*(ROW($A$7:$A$606)&lt;&gt;71)*($L$7:$L$606&lt;=$M71)*($M$7:$M$606&gt;=$L71))&gt;0,"⚠ Çakışma","OK")))</f>
        <v/>
      </c>
      <c r="Q71" s="28" t="str">
        <f aca="false">IF($A71="","",IF(OR($E71="",$H71="",$L71=""),"",IF(SUMPRODUCT(($A$7:$A$606&lt;&gt;"")*($E$7:$E$606=$E71)*($H$7:$H$606=$H71)*(ROW($A$7:$A$606)&lt;&gt;71)*($L$7:$L$606&lt;=$M71)*($M$7:$M$606&gt;=$L71))&gt;0,"⚠ Çakışma","OK")))</f>
        <v/>
      </c>
      <c r="R71" s="28" t="str">
        <f aca="false">IF($A71="","",IF(OR($N71&lt;&gt;"",$O71="⚠ Çakışma",$P71="⚠ Çakışma",$Q71="⚠ Çakışma"),"⚠ Kontrol Et","✓ Uygun"))</f>
        <v/>
      </c>
    </row>
    <row r="72" customFormat="false" ht="13.5" hidden="false" customHeight="true" outlineLevel="0" collapsed="false">
      <c r="A72" s="28" t="str">
        <f aca="false">IF('1-Turizm Rehberliği'!A69="","","Turizm Rehberliği")</f>
        <v/>
      </c>
      <c r="B72" s="28" t="str">
        <f aca="false">IF($A72="","",IF('1-Turizm Rehberliği'!A69="","",'1-Turizm Rehberliği'!A69))</f>
        <v/>
      </c>
      <c r="C72" s="29" t="str">
        <f aca="false">IF($A72="","",IF('1-Turizm Rehberliği'!B69="","",'1-Turizm Rehberliği'!B69))</f>
        <v/>
      </c>
      <c r="D72" s="28" t="str">
        <f aca="false">IF($A72="","",IF('1-Turizm Rehberliği'!C69="","",'1-Turizm Rehberliği'!C69))</f>
        <v/>
      </c>
      <c r="E72" s="28" t="str">
        <f aca="false">IF($A72="","",$A72&amp;"-"&amp;$D72)</f>
        <v/>
      </c>
      <c r="F72" s="28" t="str">
        <f aca="false">IF($A72="","",IF('1-Turizm Rehberliği'!D69="","",'1-Turizm Rehberliği'!D69))</f>
        <v/>
      </c>
      <c r="G72" s="28" t="str">
        <f aca="false">IF($A72="","",IF('1-Turizm Rehberliği'!E69="","",'1-Turizm Rehberliği'!E69))</f>
        <v/>
      </c>
      <c r="H72" s="28" t="str">
        <f aca="false">IF($A72="","",IF('1-Turizm Rehberliği'!F69="","",'1-Turizm Rehberliği'!F69))</f>
        <v/>
      </c>
      <c r="I72" s="28" t="str">
        <f aca="false">IF($A72="","",IF('1-Turizm Rehberliği'!G69="","",'1-Turizm Rehberliği'!G69))</f>
        <v/>
      </c>
      <c r="J72" s="28" t="str">
        <f aca="false">IF($A72="","",IF('1-Turizm Rehberliği'!H69="","",'1-Turizm Rehberliği'!H69))</f>
        <v/>
      </c>
      <c r="K72" s="28" t="str">
        <f aca="false">IF($A72="","",IF('1-Turizm Rehberliği'!I69="","",'1-Turizm Rehberliği'!I69))</f>
        <v/>
      </c>
      <c r="L72" s="28" t="str">
        <f aca="false">IF($I72="","",MATCH($I72,{"08.00";"09.00";"10.00";"11.00";"12.00";"13.00";"14.00";"15.00";"16.00";"17.00"},0))</f>
        <v/>
      </c>
      <c r="M72" s="28" t="str">
        <f aca="false">IF(OR($L72="",$J72=""),"",$L72+$J72-1)</f>
        <v/>
      </c>
      <c r="N72" s="28" t="str">
        <f aca="false">IF($A72="","",IF(OR($L72="",$M72=""),"",IF($M72&gt;10,"⚠ Saat Taşıyor","")))</f>
        <v/>
      </c>
      <c r="O72" s="28" t="str">
        <f aca="false">IF($A72="","",IF(OR($G72="",$H72="",$L72=""),"",IF(SUMPRODUCT(($A$7:$A$606&lt;&gt;"")*($G$7:$G$606=$G72)*($H$7:$H$606=$H72)*(ROW($A$7:$A$606)&lt;&gt;72)*($L$7:$L$606&lt;=$M72)*($M$7:$M$606&gt;=$L72))&gt;0,"⚠ Çakışma","OK")))</f>
        <v/>
      </c>
      <c r="P72" s="28" t="str">
        <f aca="false">IF($A72="","",IF(OR($K72="",$H72="",$L72=""),"",IF(SUMPRODUCT(($A$7:$A$606&lt;&gt;"")*($K$7:$K$606=$K72)*($H$7:$H$606=$H72)*(ROW($A$7:$A$606)&lt;&gt;72)*($L$7:$L$606&lt;=$M72)*($M$7:$M$606&gt;=$L72))&gt;0,"⚠ Çakışma","OK")))</f>
        <v/>
      </c>
      <c r="Q72" s="28" t="str">
        <f aca="false">IF($A72="","",IF(OR($E72="",$H72="",$L72=""),"",IF(SUMPRODUCT(($A$7:$A$606&lt;&gt;"")*($E$7:$E$606=$E72)*($H$7:$H$606=$H72)*(ROW($A$7:$A$606)&lt;&gt;72)*($L$7:$L$606&lt;=$M72)*($M$7:$M$606&gt;=$L72))&gt;0,"⚠ Çakışma","OK")))</f>
        <v/>
      </c>
      <c r="R72" s="28" t="str">
        <f aca="false">IF($A72="","",IF(OR($N72&lt;&gt;"",$O72="⚠ Çakışma",$P72="⚠ Çakışma",$Q72="⚠ Çakışma"),"⚠ Kontrol Et","✓ Uygun"))</f>
        <v/>
      </c>
    </row>
    <row r="73" customFormat="false" ht="13.5" hidden="false" customHeight="true" outlineLevel="0" collapsed="false">
      <c r="A73" s="28" t="str">
        <f aca="false">IF('1-Turizm Rehberliği'!A70="","","Turizm Rehberliği")</f>
        <v/>
      </c>
      <c r="B73" s="28" t="str">
        <f aca="false">IF($A73="","",IF('1-Turizm Rehberliği'!A70="","",'1-Turizm Rehberliği'!A70))</f>
        <v/>
      </c>
      <c r="C73" s="29" t="str">
        <f aca="false">IF($A73="","",IF('1-Turizm Rehberliği'!B70="","",'1-Turizm Rehberliği'!B70))</f>
        <v/>
      </c>
      <c r="D73" s="28" t="str">
        <f aca="false">IF($A73="","",IF('1-Turizm Rehberliği'!C70="","",'1-Turizm Rehberliği'!C70))</f>
        <v/>
      </c>
      <c r="E73" s="28" t="str">
        <f aca="false">IF($A73="","",$A73&amp;"-"&amp;$D73)</f>
        <v/>
      </c>
      <c r="F73" s="28" t="str">
        <f aca="false">IF($A73="","",IF('1-Turizm Rehberliği'!D70="","",'1-Turizm Rehberliği'!D70))</f>
        <v/>
      </c>
      <c r="G73" s="28" t="str">
        <f aca="false">IF($A73="","",IF('1-Turizm Rehberliği'!E70="","",'1-Turizm Rehberliği'!E70))</f>
        <v/>
      </c>
      <c r="H73" s="28" t="str">
        <f aca="false">IF($A73="","",IF('1-Turizm Rehberliği'!F70="","",'1-Turizm Rehberliği'!F70))</f>
        <v/>
      </c>
      <c r="I73" s="28" t="str">
        <f aca="false">IF($A73="","",IF('1-Turizm Rehberliği'!G70="","",'1-Turizm Rehberliği'!G70))</f>
        <v/>
      </c>
      <c r="J73" s="28" t="str">
        <f aca="false">IF($A73="","",IF('1-Turizm Rehberliği'!H70="","",'1-Turizm Rehberliği'!H70))</f>
        <v/>
      </c>
      <c r="K73" s="28" t="str">
        <f aca="false">IF($A73="","",IF('1-Turizm Rehberliği'!I70="","",'1-Turizm Rehberliği'!I70))</f>
        <v/>
      </c>
      <c r="L73" s="28" t="str">
        <f aca="false">IF($I73="","",MATCH($I73,{"08.00";"09.00";"10.00";"11.00";"12.00";"13.00";"14.00";"15.00";"16.00";"17.00"},0))</f>
        <v/>
      </c>
      <c r="M73" s="28" t="str">
        <f aca="false">IF(OR($L73="",$J73=""),"",$L73+$J73-1)</f>
        <v/>
      </c>
      <c r="N73" s="28" t="str">
        <f aca="false">IF($A73="","",IF(OR($L73="",$M73=""),"",IF($M73&gt;10,"⚠ Saat Taşıyor","")))</f>
        <v/>
      </c>
      <c r="O73" s="28" t="str">
        <f aca="false">IF($A73="","",IF(OR($G73="",$H73="",$L73=""),"",IF(SUMPRODUCT(($A$7:$A$606&lt;&gt;"")*($G$7:$G$606=$G73)*($H$7:$H$606=$H73)*(ROW($A$7:$A$606)&lt;&gt;73)*($L$7:$L$606&lt;=$M73)*($M$7:$M$606&gt;=$L73))&gt;0,"⚠ Çakışma","OK")))</f>
        <v/>
      </c>
      <c r="P73" s="28" t="str">
        <f aca="false">IF($A73="","",IF(OR($K73="",$H73="",$L73=""),"",IF(SUMPRODUCT(($A$7:$A$606&lt;&gt;"")*($K$7:$K$606=$K73)*($H$7:$H$606=$H73)*(ROW($A$7:$A$606)&lt;&gt;73)*($L$7:$L$606&lt;=$M73)*($M$7:$M$606&gt;=$L73))&gt;0,"⚠ Çakışma","OK")))</f>
        <v/>
      </c>
      <c r="Q73" s="28" t="str">
        <f aca="false">IF($A73="","",IF(OR($E73="",$H73="",$L73=""),"",IF(SUMPRODUCT(($A$7:$A$606&lt;&gt;"")*($E$7:$E$606=$E73)*($H$7:$H$606=$H73)*(ROW($A$7:$A$606)&lt;&gt;73)*($L$7:$L$606&lt;=$M73)*($M$7:$M$606&gt;=$L73))&gt;0,"⚠ Çakışma","OK")))</f>
        <v/>
      </c>
      <c r="R73" s="28" t="str">
        <f aca="false">IF($A73="","",IF(OR($N73&lt;&gt;"",$O73="⚠ Çakışma",$P73="⚠ Çakışma",$Q73="⚠ Çakışma"),"⚠ Kontrol Et","✓ Uygun"))</f>
        <v/>
      </c>
    </row>
    <row r="74" customFormat="false" ht="13.5" hidden="false" customHeight="true" outlineLevel="0" collapsed="false">
      <c r="A74" s="28" t="str">
        <f aca="false">IF('1-Turizm Rehberliği'!A71="","","Turizm Rehberliği")</f>
        <v/>
      </c>
      <c r="B74" s="28" t="str">
        <f aca="false">IF($A74="","",IF('1-Turizm Rehberliği'!A71="","",'1-Turizm Rehberliği'!A71))</f>
        <v/>
      </c>
      <c r="C74" s="29" t="str">
        <f aca="false">IF($A74="","",IF('1-Turizm Rehberliği'!B71="","",'1-Turizm Rehberliği'!B71))</f>
        <v/>
      </c>
      <c r="D74" s="28" t="str">
        <f aca="false">IF($A74="","",IF('1-Turizm Rehberliği'!C71="","",'1-Turizm Rehberliği'!C71))</f>
        <v/>
      </c>
      <c r="E74" s="28" t="str">
        <f aca="false">IF($A74="","",$A74&amp;"-"&amp;$D74)</f>
        <v/>
      </c>
      <c r="F74" s="28" t="str">
        <f aca="false">IF($A74="","",IF('1-Turizm Rehberliği'!D71="","",'1-Turizm Rehberliği'!D71))</f>
        <v/>
      </c>
      <c r="G74" s="28" t="str">
        <f aca="false">IF($A74="","",IF('1-Turizm Rehberliği'!E71="","",'1-Turizm Rehberliği'!E71))</f>
        <v/>
      </c>
      <c r="H74" s="28" t="str">
        <f aca="false">IF($A74="","",IF('1-Turizm Rehberliği'!F71="","",'1-Turizm Rehberliği'!F71))</f>
        <v/>
      </c>
      <c r="I74" s="28" t="str">
        <f aca="false">IF($A74="","",IF('1-Turizm Rehberliği'!G71="","",'1-Turizm Rehberliği'!G71))</f>
        <v/>
      </c>
      <c r="J74" s="28" t="str">
        <f aca="false">IF($A74="","",IF('1-Turizm Rehberliği'!H71="","",'1-Turizm Rehberliği'!H71))</f>
        <v/>
      </c>
      <c r="K74" s="28" t="str">
        <f aca="false">IF($A74="","",IF('1-Turizm Rehberliği'!I71="","",'1-Turizm Rehberliği'!I71))</f>
        <v/>
      </c>
      <c r="L74" s="28" t="str">
        <f aca="false">IF($I74="","",MATCH($I74,{"08.00";"09.00";"10.00";"11.00";"12.00";"13.00";"14.00";"15.00";"16.00";"17.00"},0))</f>
        <v/>
      </c>
      <c r="M74" s="28" t="str">
        <f aca="false">IF(OR($L74="",$J74=""),"",$L74+$J74-1)</f>
        <v/>
      </c>
      <c r="N74" s="28" t="str">
        <f aca="false">IF($A74="","",IF(OR($L74="",$M74=""),"",IF($M74&gt;10,"⚠ Saat Taşıyor","")))</f>
        <v/>
      </c>
      <c r="O74" s="28" t="str">
        <f aca="false">IF($A74="","",IF(OR($G74="",$H74="",$L74=""),"",IF(SUMPRODUCT(($A$7:$A$606&lt;&gt;"")*($G$7:$G$606=$G74)*($H$7:$H$606=$H74)*(ROW($A$7:$A$606)&lt;&gt;74)*($L$7:$L$606&lt;=$M74)*($M$7:$M$606&gt;=$L74))&gt;0,"⚠ Çakışma","OK")))</f>
        <v/>
      </c>
      <c r="P74" s="28" t="str">
        <f aca="false">IF($A74="","",IF(OR($K74="",$H74="",$L74=""),"",IF(SUMPRODUCT(($A$7:$A$606&lt;&gt;"")*($K$7:$K$606=$K74)*($H$7:$H$606=$H74)*(ROW($A$7:$A$606)&lt;&gt;74)*($L$7:$L$606&lt;=$M74)*($M$7:$M$606&gt;=$L74))&gt;0,"⚠ Çakışma","OK")))</f>
        <v/>
      </c>
      <c r="Q74" s="28" t="str">
        <f aca="false">IF($A74="","",IF(OR($E74="",$H74="",$L74=""),"",IF(SUMPRODUCT(($A$7:$A$606&lt;&gt;"")*($E$7:$E$606=$E74)*($H$7:$H$606=$H74)*(ROW($A$7:$A$606)&lt;&gt;74)*($L$7:$L$606&lt;=$M74)*($M$7:$M$606&gt;=$L74))&gt;0,"⚠ Çakışma","OK")))</f>
        <v/>
      </c>
      <c r="R74" s="28" t="str">
        <f aca="false">IF($A74="","",IF(OR($N74&lt;&gt;"",$O74="⚠ Çakışma",$P74="⚠ Çakışma",$Q74="⚠ Çakışma"),"⚠ Kontrol Et","✓ Uygun"))</f>
        <v/>
      </c>
    </row>
    <row r="75" customFormat="false" ht="13.5" hidden="false" customHeight="true" outlineLevel="0" collapsed="false">
      <c r="A75" s="28" t="str">
        <f aca="false">IF('1-Turizm Rehberliği'!A72="","","Turizm Rehberliği")</f>
        <v/>
      </c>
      <c r="B75" s="28" t="str">
        <f aca="false">IF($A75="","",IF('1-Turizm Rehberliği'!A72="","",'1-Turizm Rehberliği'!A72))</f>
        <v/>
      </c>
      <c r="C75" s="29" t="str">
        <f aca="false">IF($A75="","",IF('1-Turizm Rehberliği'!B72="","",'1-Turizm Rehberliği'!B72))</f>
        <v/>
      </c>
      <c r="D75" s="28" t="str">
        <f aca="false">IF($A75="","",IF('1-Turizm Rehberliği'!C72="","",'1-Turizm Rehberliği'!C72))</f>
        <v/>
      </c>
      <c r="E75" s="28" t="str">
        <f aca="false">IF($A75="","",$A75&amp;"-"&amp;$D75)</f>
        <v/>
      </c>
      <c r="F75" s="28" t="str">
        <f aca="false">IF($A75="","",IF('1-Turizm Rehberliği'!D72="","",'1-Turizm Rehberliği'!D72))</f>
        <v/>
      </c>
      <c r="G75" s="28" t="str">
        <f aca="false">IF($A75="","",IF('1-Turizm Rehberliği'!E72="","",'1-Turizm Rehberliği'!E72))</f>
        <v/>
      </c>
      <c r="H75" s="28" t="str">
        <f aca="false">IF($A75="","",IF('1-Turizm Rehberliği'!F72="","",'1-Turizm Rehberliği'!F72))</f>
        <v/>
      </c>
      <c r="I75" s="28" t="str">
        <f aca="false">IF($A75="","",IF('1-Turizm Rehberliği'!G72="","",'1-Turizm Rehberliği'!G72))</f>
        <v/>
      </c>
      <c r="J75" s="28" t="str">
        <f aca="false">IF($A75="","",IF('1-Turizm Rehberliği'!H72="","",'1-Turizm Rehberliği'!H72))</f>
        <v/>
      </c>
      <c r="K75" s="28" t="str">
        <f aca="false">IF($A75="","",IF('1-Turizm Rehberliği'!I72="","",'1-Turizm Rehberliği'!I72))</f>
        <v/>
      </c>
      <c r="L75" s="28" t="str">
        <f aca="false">IF($I75="","",MATCH($I75,{"08.00";"09.00";"10.00";"11.00";"12.00";"13.00";"14.00";"15.00";"16.00";"17.00"},0))</f>
        <v/>
      </c>
      <c r="M75" s="28" t="str">
        <f aca="false">IF(OR($L75="",$J75=""),"",$L75+$J75-1)</f>
        <v/>
      </c>
      <c r="N75" s="28" t="str">
        <f aca="false">IF($A75="","",IF(OR($L75="",$M75=""),"",IF($M75&gt;10,"⚠ Saat Taşıyor","")))</f>
        <v/>
      </c>
      <c r="O75" s="28" t="str">
        <f aca="false">IF($A75="","",IF(OR($G75="",$H75="",$L75=""),"",IF(SUMPRODUCT(($A$7:$A$606&lt;&gt;"")*($G$7:$G$606=$G75)*($H$7:$H$606=$H75)*(ROW($A$7:$A$606)&lt;&gt;75)*($L$7:$L$606&lt;=$M75)*($M$7:$M$606&gt;=$L75))&gt;0,"⚠ Çakışma","OK")))</f>
        <v/>
      </c>
      <c r="P75" s="28" t="str">
        <f aca="false">IF($A75="","",IF(OR($K75="",$H75="",$L75=""),"",IF(SUMPRODUCT(($A$7:$A$606&lt;&gt;"")*($K$7:$K$606=$K75)*($H$7:$H$606=$H75)*(ROW($A$7:$A$606)&lt;&gt;75)*($L$7:$L$606&lt;=$M75)*($M$7:$M$606&gt;=$L75))&gt;0,"⚠ Çakışma","OK")))</f>
        <v/>
      </c>
      <c r="Q75" s="28" t="str">
        <f aca="false">IF($A75="","",IF(OR($E75="",$H75="",$L75=""),"",IF(SUMPRODUCT(($A$7:$A$606&lt;&gt;"")*($E$7:$E$606=$E75)*($H$7:$H$606=$H75)*(ROW($A$7:$A$606)&lt;&gt;75)*($L$7:$L$606&lt;=$M75)*($M$7:$M$606&gt;=$L75))&gt;0,"⚠ Çakışma","OK")))</f>
        <v/>
      </c>
      <c r="R75" s="28" t="str">
        <f aca="false">IF($A75="","",IF(OR($N75&lt;&gt;"",$O75="⚠ Çakışma",$P75="⚠ Çakışma",$Q75="⚠ Çakışma"),"⚠ Kontrol Et","✓ Uygun"))</f>
        <v/>
      </c>
    </row>
    <row r="76" customFormat="false" ht="13.5" hidden="false" customHeight="true" outlineLevel="0" collapsed="false">
      <c r="A76" s="28" t="str">
        <f aca="false">IF('1-Turizm Rehberliği'!A73="","","Turizm Rehberliği")</f>
        <v/>
      </c>
      <c r="B76" s="28" t="str">
        <f aca="false">IF($A76="","",IF('1-Turizm Rehberliği'!A73="","",'1-Turizm Rehberliği'!A73))</f>
        <v/>
      </c>
      <c r="C76" s="29" t="str">
        <f aca="false">IF($A76="","",IF('1-Turizm Rehberliği'!B73="","",'1-Turizm Rehberliği'!B73))</f>
        <v/>
      </c>
      <c r="D76" s="28" t="str">
        <f aca="false">IF($A76="","",IF('1-Turizm Rehberliği'!C73="","",'1-Turizm Rehberliği'!C73))</f>
        <v/>
      </c>
      <c r="E76" s="28" t="str">
        <f aca="false">IF($A76="","",$A76&amp;"-"&amp;$D76)</f>
        <v/>
      </c>
      <c r="F76" s="28" t="str">
        <f aca="false">IF($A76="","",IF('1-Turizm Rehberliği'!D73="","",'1-Turizm Rehberliği'!D73))</f>
        <v/>
      </c>
      <c r="G76" s="28" t="str">
        <f aca="false">IF($A76="","",IF('1-Turizm Rehberliği'!E73="","",'1-Turizm Rehberliği'!E73))</f>
        <v/>
      </c>
      <c r="H76" s="28" t="str">
        <f aca="false">IF($A76="","",IF('1-Turizm Rehberliği'!F73="","",'1-Turizm Rehberliği'!F73))</f>
        <v/>
      </c>
      <c r="I76" s="28" t="str">
        <f aca="false">IF($A76="","",IF('1-Turizm Rehberliği'!G73="","",'1-Turizm Rehberliği'!G73))</f>
        <v/>
      </c>
      <c r="J76" s="28" t="str">
        <f aca="false">IF($A76="","",IF('1-Turizm Rehberliği'!H73="","",'1-Turizm Rehberliği'!H73))</f>
        <v/>
      </c>
      <c r="K76" s="28" t="str">
        <f aca="false">IF($A76="","",IF('1-Turizm Rehberliği'!I73="","",'1-Turizm Rehberliği'!I73))</f>
        <v/>
      </c>
      <c r="L76" s="28" t="str">
        <f aca="false">IF($I76="","",MATCH($I76,{"08.00";"09.00";"10.00";"11.00";"12.00";"13.00";"14.00";"15.00";"16.00";"17.00"},0))</f>
        <v/>
      </c>
      <c r="M76" s="28" t="str">
        <f aca="false">IF(OR($L76="",$J76=""),"",$L76+$J76-1)</f>
        <v/>
      </c>
      <c r="N76" s="28" t="str">
        <f aca="false">IF($A76="","",IF(OR($L76="",$M76=""),"",IF($M76&gt;10,"⚠ Saat Taşıyor","")))</f>
        <v/>
      </c>
      <c r="O76" s="28" t="str">
        <f aca="false">IF($A76="","",IF(OR($G76="",$H76="",$L76=""),"",IF(SUMPRODUCT(($A$7:$A$606&lt;&gt;"")*($G$7:$G$606=$G76)*($H$7:$H$606=$H76)*(ROW($A$7:$A$606)&lt;&gt;76)*($L$7:$L$606&lt;=$M76)*($M$7:$M$606&gt;=$L76))&gt;0,"⚠ Çakışma","OK")))</f>
        <v/>
      </c>
      <c r="P76" s="28" t="str">
        <f aca="false">IF($A76="","",IF(OR($K76="",$H76="",$L76=""),"",IF(SUMPRODUCT(($A$7:$A$606&lt;&gt;"")*($K$7:$K$606=$K76)*($H$7:$H$606=$H76)*(ROW($A$7:$A$606)&lt;&gt;76)*($L$7:$L$606&lt;=$M76)*($M$7:$M$606&gt;=$L76))&gt;0,"⚠ Çakışma","OK")))</f>
        <v/>
      </c>
      <c r="Q76" s="28" t="str">
        <f aca="false">IF($A76="","",IF(OR($E76="",$H76="",$L76=""),"",IF(SUMPRODUCT(($A$7:$A$606&lt;&gt;"")*($E$7:$E$606=$E76)*($H$7:$H$606=$H76)*(ROW($A$7:$A$606)&lt;&gt;76)*($L$7:$L$606&lt;=$M76)*($M$7:$M$606&gt;=$L76))&gt;0,"⚠ Çakışma","OK")))</f>
        <v/>
      </c>
      <c r="R76" s="28" t="str">
        <f aca="false">IF($A76="","",IF(OR($N76&lt;&gt;"",$O76="⚠ Çakışma",$P76="⚠ Çakışma",$Q76="⚠ Çakışma"),"⚠ Kontrol Et","✓ Uygun"))</f>
        <v/>
      </c>
    </row>
    <row r="77" customFormat="false" ht="13.5" hidden="false" customHeight="true" outlineLevel="0" collapsed="false">
      <c r="A77" s="28" t="str">
        <f aca="false">IF('1-Turizm Rehberliği'!A74="","","Turizm Rehberliği")</f>
        <v/>
      </c>
      <c r="B77" s="28" t="str">
        <f aca="false">IF($A77="","",IF('1-Turizm Rehberliği'!A74="","",'1-Turizm Rehberliği'!A74))</f>
        <v/>
      </c>
      <c r="C77" s="29" t="str">
        <f aca="false">IF($A77="","",IF('1-Turizm Rehberliği'!B74="","",'1-Turizm Rehberliği'!B74))</f>
        <v/>
      </c>
      <c r="D77" s="28" t="str">
        <f aca="false">IF($A77="","",IF('1-Turizm Rehberliği'!C74="","",'1-Turizm Rehberliği'!C74))</f>
        <v/>
      </c>
      <c r="E77" s="28" t="str">
        <f aca="false">IF($A77="","",$A77&amp;"-"&amp;$D77)</f>
        <v/>
      </c>
      <c r="F77" s="28" t="str">
        <f aca="false">IF($A77="","",IF('1-Turizm Rehberliği'!D74="","",'1-Turizm Rehberliği'!D74))</f>
        <v/>
      </c>
      <c r="G77" s="28" t="str">
        <f aca="false">IF($A77="","",IF('1-Turizm Rehberliği'!E74="","",'1-Turizm Rehberliği'!E74))</f>
        <v/>
      </c>
      <c r="H77" s="28" t="str">
        <f aca="false">IF($A77="","",IF('1-Turizm Rehberliği'!F74="","",'1-Turizm Rehberliği'!F74))</f>
        <v/>
      </c>
      <c r="I77" s="28" t="str">
        <f aca="false">IF($A77="","",IF('1-Turizm Rehberliği'!G74="","",'1-Turizm Rehberliği'!G74))</f>
        <v/>
      </c>
      <c r="J77" s="28" t="str">
        <f aca="false">IF($A77="","",IF('1-Turizm Rehberliği'!H74="","",'1-Turizm Rehberliği'!H74))</f>
        <v/>
      </c>
      <c r="K77" s="28" t="str">
        <f aca="false">IF($A77="","",IF('1-Turizm Rehberliği'!I74="","",'1-Turizm Rehberliği'!I74))</f>
        <v/>
      </c>
      <c r="L77" s="28" t="str">
        <f aca="false">IF($I77="","",MATCH($I77,{"08.00";"09.00";"10.00";"11.00";"12.00";"13.00";"14.00";"15.00";"16.00";"17.00"},0))</f>
        <v/>
      </c>
      <c r="M77" s="28" t="str">
        <f aca="false">IF(OR($L77="",$J77=""),"",$L77+$J77-1)</f>
        <v/>
      </c>
      <c r="N77" s="28" t="str">
        <f aca="false">IF($A77="","",IF(OR($L77="",$M77=""),"",IF($M77&gt;10,"⚠ Saat Taşıyor","")))</f>
        <v/>
      </c>
      <c r="O77" s="28" t="str">
        <f aca="false">IF($A77="","",IF(OR($G77="",$H77="",$L77=""),"",IF(SUMPRODUCT(($A$7:$A$606&lt;&gt;"")*($G$7:$G$606=$G77)*($H$7:$H$606=$H77)*(ROW($A$7:$A$606)&lt;&gt;77)*($L$7:$L$606&lt;=$M77)*($M$7:$M$606&gt;=$L77))&gt;0,"⚠ Çakışma","OK")))</f>
        <v/>
      </c>
      <c r="P77" s="28" t="str">
        <f aca="false">IF($A77="","",IF(OR($K77="",$H77="",$L77=""),"",IF(SUMPRODUCT(($A$7:$A$606&lt;&gt;"")*($K$7:$K$606=$K77)*($H$7:$H$606=$H77)*(ROW($A$7:$A$606)&lt;&gt;77)*($L$7:$L$606&lt;=$M77)*($M$7:$M$606&gt;=$L77))&gt;0,"⚠ Çakışma","OK")))</f>
        <v/>
      </c>
      <c r="Q77" s="28" t="str">
        <f aca="false">IF($A77="","",IF(OR($E77="",$H77="",$L77=""),"",IF(SUMPRODUCT(($A$7:$A$606&lt;&gt;"")*($E$7:$E$606=$E77)*($H$7:$H$606=$H77)*(ROW($A$7:$A$606)&lt;&gt;77)*($L$7:$L$606&lt;=$M77)*($M$7:$M$606&gt;=$L77))&gt;0,"⚠ Çakışma","OK")))</f>
        <v/>
      </c>
      <c r="R77" s="28" t="str">
        <f aca="false">IF($A77="","",IF(OR($N77&lt;&gt;"",$O77="⚠ Çakışma",$P77="⚠ Çakışma",$Q77="⚠ Çakışma"),"⚠ Kontrol Et","✓ Uygun"))</f>
        <v/>
      </c>
    </row>
    <row r="78" customFormat="false" ht="13.5" hidden="false" customHeight="true" outlineLevel="0" collapsed="false">
      <c r="A78" s="28" t="str">
        <f aca="false">IF('1-Turizm Rehberliği'!A75="","","Turizm Rehberliği")</f>
        <v/>
      </c>
      <c r="B78" s="28" t="str">
        <f aca="false">IF($A78="","",IF('1-Turizm Rehberliği'!A75="","",'1-Turizm Rehberliği'!A75))</f>
        <v/>
      </c>
      <c r="C78" s="29" t="str">
        <f aca="false">IF($A78="","",IF('1-Turizm Rehberliği'!B75="","",'1-Turizm Rehberliği'!B75))</f>
        <v/>
      </c>
      <c r="D78" s="28" t="str">
        <f aca="false">IF($A78="","",IF('1-Turizm Rehberliği'!C75="","",'1-Turizm Rehberliği'!C75))</f>
        <v/>
      </c>
      <c r="E78" s="28" t="str">
        <f aca="false">IF($A78="","",$A78&amp;"-"&amp;$D78)</f>
        <v/>
      </c>
      <c r="F78" s="28" t="str">
        <f aca="false">IF($A78="","",IF('1-Turizm Rehberliği'!D75="","",'1-Turizm Rehberliği'!D75))</f>
        <v/>
      </c>
      <c r="G78" s="28" t="str">
        <f aca="false">IF($A78="","",IF('1-Turizm Rehberliği'!E75="","",'1-Turizm Rehberliği'!E75))</f>
        <v/>
      </c>
      <c r="H78" s="28" t="str">
        <f aca="false">IF($A78="","",IF('1-Turizm Rehberliği'!F75="","",'1-Turizm Rehberliği'!F75))</f>
        <v/>
      </c>
      <c r="I78" s="28" t="str">
        <f aca="false">IF($A78="","",IF('1-Turizm Rehberliği'!G75="","",'1-Turizm Rehberliği'!G75))</f>
        <v/>
      </c>
      <c r="J78" s="28" t="str">
        <f aca="false">IF($A78="","",IF('1-Turizm Rehberliği'!H75="","",'1-Turizm Rehberliği'!H75))</f>
        <v/>
      </c>
      <c r="K78" s="28" t="str">
        <f aca="false">IF($A78="","",IF('1-Turizm Rehberliği'!I75="","",'1-Turizm Rehberliği'!I75))</f>
        <v/>
      </c>
      <c r="L78" s="28" t="str">
        <f aca="false">IF($I78="","",MATCH($I78,{"08.00";"09.00";"10.00";"11.00";"12.00";"13.00";"14.00";"15.00";"16.00";"17.00"},0))</f>
        <v/>
      </c>
      <c r="M78" s="28" t="str">
        <f aca="false">IF(OR($L78="",$J78=""),"",$L78+$J78-1)</f>
        <v/>
      </c>
      <c r="N78" s="28" t="str">
        <f aca="false">IF($A78="","",IF(OR($L78="",$M78=""),"",IF($M78&gt;10,"⚠ Saat Taşıyor","")))</f>
        <v/>
      </c>
      <c r="O78" s="28" t="str">
        <f aca="false">IF($A78="","",IF(OR($G78="",$H78="",$L78=""),"",IF(SUMPRODUCT(($A$7:$A$606&lt;&gt;"")*($G$7:$G$606=$G78)*($H$7:$H$606=$H78)*(ROW($A$7:$A$606)&lt;&gt;78)*($L$7:$L$606&lt;=$M78)*($M$7:$M$606&gt;=$L78))&gt;0,"⚠ Çakışma","OK")))</f>
        <v/>
      </c>
      <c r="P78" s="28" t="str">
        <f aca="false">IF($A78="","",IF(OR($K78="",$H78="",$L78=""),"",IF(SUMPRODUCT(($A$7:$A$606&lt;&gt;"")*($K$7:$K$606=$K78)*($H$7:$H$606=$H78)*(ROW($A$7:$A$606)&lt;&gt;78)*($L$7:$L$606&lt;=$M78)*($M$7:$M$606&gt;=$L78))&gt;0,"⚠ Çakışma","OK")))</f>
        <v/>
      </c>
      <c r="Q78" s="28" t="str">
        <f aca="false">IF($A78="","",IF(OR($E78="",$H78="",$L78=""),"",IF(SUMPRODUCT(($A$7:$A$606&lt;&gt;"")*($E$7:$E$606=$E78)*($H$7:$H$606=$H78)*(ROW($A$7:$A$606)&lt;&gt;78)*($L$7:$L$606&lt;=$M78)*($M$7:$M$606&gt;=$L78))&gt;0,"⚠ Çakışma","OK")))</f>
        <v/>
      </c>
      <c r="R78" s="28" t="str">
        <f aca="false">IF($A78="","",IF(OR($N78&lt;&gt;"",$O78="⚠ Çakışma",$P78="⚠ Çakışma",$Q78="⚠ Çakışma"),"⚠ Kontrol Et","✓ Uygun"))</f>
        <v/>
      </c>
    </row>
    <row r="79" customFormat="false" ht="13.5" hidden="false" customHeight="true" outlineLevel="0" collapsed="false">
      <c r="A79" s="28" t="str">
        <f aca="false">IF('1-Turizm Rehberliği'!A76="","","Turizm Rehberliği")</f>
        <v/>
      </c>
      <c r="B79" s="28" t="str">
        <f aca="false">IF($A79="","",IF('1-Turizm Rehberliği'!A76="","",'1-Turizm Rehberliği'!A76))</f>
        <v/>
      </c>
      <c r="C79" s="29" t="str">
        <f aca="false">IF($A79="","",IF('1-Turizm Rehberliği'!B76="","",'1-Turizm Rehberliği'!B76))</f>
        <v/>
      </c>
      <c r="D79" s="28" t="str">
        <f aca="false">IF($A79="","",IF('1-Turizm Rehberliği'!C76="","",'1-Turizm Rehberliği'!C76))</f>
        <v/>
      </c>
      <c r="E79" s="28" t="str">
        <f aca="false">IF($A79="","",$A79&amp;"-"&amp;$D79)</f>
        <v/>
      </c>
      <c r="F79" s="28" t="str">
        <f aca="false">IF($A79="","",IF('1-Turizm Rehberliği'!D76="","",'1-Turizm Rehberliği'!D76))</f>
        <v/>
      </c>
      <c r="G79" s="28" t="str">
        <f aca="false">IF($A79="","",IF('1-Turizm Rehberliği'!E76="","",'1-Turizm Rehberliği'!E76))</f>
        <v/>
      </c>
      <c r="H79" s="28" t="str">
        <f aca="false">IF($A79="","",IF('1-Turizm Rehberliği'!F76="","",'1-Turizm Rehberliği'!F76))</f>
        <v/>
      </c>
      <c r="I79" s="28" t="str">
        <f aca="false">IF($A79="","",IF('1-Turizm Rehberliği'!G76="","",'1-Turizm Rehberliği'!G76))</f>
        <v/>
      </c>
      <c r="J79" s="28" t="str">
        <f aca="false">IF($A79="","",IF('1-Turizm Rehberliği'!H76="","",'1-Turizm Rehberliği'!H76))</f>
        <v/>
      </c>
      <c r="K79" s="28" t="str">
        <f aca="false">IF($A79="","",IF('1-Turizm Rehberliği'!I76="","",'1-Turizm Rehberliği'!I76))</f>
        <v/>
      </c>
      <c r="L79" s="28" t="str">
        <f aca="false">IF($I79="","",MATCH($I79,{"08.00";"09.00";"10.00";"11.00";"12.00";"13.00";"14.00";"15.00";"16.00";"17.00"},0))</f>
        <v/>
      </c>
      <c r="M79" s="28" t="str">
        <f aca="false">IF(OR($L79="",$J79=""),"",$L79+$J79-1)</f>
        <v/>
      </c>
      <c r="N79" s="28" t="str">
        <f aca="false">IF($A79="","",IF(OR($L79="",$M79=""),"",IF($M79&gt;10,"⚠ Saat Taşıyor","")))</f>
        <v/>
      </c>
      <c r="O79" s="28" t="str">
        <f aca="false">IF($A79="","",IF(OR($G79="",$H79="",$L79=""),"",IF(SUMPRODUCT(($A$7:$A$606&lt;&gt;"")*($G$7:$G$606=$G79)*($H$7:$H$606=$H79)*(ROW($A$7:$A$606)&lt;&gt;79)*($L$7:$L$606&lt;=$M79)*($M$7:$M$606&gt;=$L79))&gt;0,"⚠ Çakışma","OK")))</f>
        <v/>
      </c>
      <c r="P79" s="28" t="str">
        <f aca="false">IF($A79="","",IF(OR($K79="",$H79="",$L79=""),"",IF(SUMPRODUCT(($A$7:$A$606&lt;&gt;"")*($K$7:$K$606=$K79)*($H$7:$H$606=$H79)*(ROW($A$7:$A$606)&lt;&gt;79)*($L$7:$L$606&lt;=$M79)*($M$7:$M$606&gt;=$L79))&gt;0,"⚠ Çakışma","OK")))</f>
        <v/>
      </c>
      <c r="Q79" s="28" t="str">
        <f aca="false">IF($A79="","",IF(OR($E79="",$H79="",$L79=""),"",IF(SUMPRODUCT(($A$7:$A$606&lt;&gt;"")*($E$7:$E$606=$E79)*($H$7:$H$606=$H79)*(ROW($A$7:$A$606)&lt;&gt;79)*($L$7:$L$606&lt;=$M79)*($M$7:$M$606&gt;=$L79))&gt;0,"⚠ Çakışma","OK")))</f>
        <v/>
      </c>
      <c r="R79" s="28" t="str">
        <f aca="false">IF($A79="","",IF(OR($N79&lt;&gt;"",$O79="⚠ Çakışma",$P79="⚠ Çakışma",$Q79="⚠ Çakışma"),"⚠ Kontrol Et","✓ Uygun"))</f>
        <v/>
      </c>
    </row>
    <row r="80" customFormat="false" ht="13.5" hidden="false" customHeight="true" outlineLevel="0" collapsed="false">
      <c r="A80" s="28" t="str">
        <f aca="false">IF('1-Turizm Rehberliği'!A77="","","Turizm Rehberliği")</f>
        <v/>
      </c>
      <c r="B80" s="28" t="str">
        <f aca="false">IF($A80="","",IF('1-Turizm Rehberliği'!A77="","",'1-Turizm Rehberliği'!A77))</f>
        <v/>
      </c>
      <c r="C80" s="29" t="str">
        <f aca="false">IF($A80="","",IF('1-Turizm Rehberliği'!B77="","",'1-Turizm Rehberliği'!B77))</f>
        <v/>
      </c>
      <c r="D80" s="28" t="str">
        <f aca="false">IF($A80="","",IF('1-Turizm Rehberliği'!C77="","",'1-Turizm Rehberliği'!C77))</f>
        <v/>
      </c>
      <c r="E80" s="28" t="str">
        <f aca="false">IF($A80="","",$A80&amp;"-"&amp;$D80)</f>
        <v/>
      </c>
      <c r="F80" s="28" t="str">
        <f aca="false">IF($A80="","",IF('1-Turizm Rehberliği'!D77="","",'1-Turizm Rehberliği'!D77))</f>
        <v/>
      </c>
      <c r="G80" s="28" t="str">
        <f aca="false">IF($A80="","",IF('1-Turizm Rehberliği'!E77="","",'1-Turizm Rehberliği'!E77))</f>
        <v/>
      </c>
      <c r="H80" s="28" t="str">
        <f aca="false">IF($A80="","",IF('1-Turizm Rehberliği'!F77="","",'1-Turizm Rehberliği'!F77))</f>
        <v/>
      </c>
      <c r="I80" s="28" t="str">
        <f aca="false">IF($A80="","",IF('1-Turizm Rehberliği'!G77="","",'1-Turizm Rehberliği'!G77))</f>
        <v/>
      </c>
      <c r="J80" s="28" t="str">
        <f aca="false">IF($A80="","",IF('1-Turizm Rehberliği'!H77="","",'1-Turizm Rehberliği'!H77))</f>
        <v/>
      </c>
      <c r="K80" s="28" t="str">
        <f aca="false">IF($A80="","",IF('1-Turizm Rehberliği'!I77="","",'1-Turizm Rehberliği'!I77))</f>
        <v/>
      </c>
      <c r="L80" s="28" t="str">
        <f aca="false">IF($I80="","",MATCH($I80,{"08.00";"09.00";"10.00";"11.00";"12.00";"13.00";"14.00";"15.00";"16.00";"17.00"},0))</f>
        <v/>
      </c>
      <c r="M80" s="28" t="str">
        <f aca="false">IF(OR($L80="",$J80=""),"",$L80+$J80-1)</f>
        <v/>
      </c>
      <c r="N80" s="28" t="str">
        <f aca="false">IF($A80="","",IF(OR($L80="",$M80=""),"",IF($M80&gt;10,"⚠ Saat Taşıyor","")))</f>
        <v/>
      </c>
      <c r="O80" s="28" t="str">
        <f aca="false">IF($A80="","",IF(OR($G80="",$H80="",$L80=""),"",IF(SUMPRODUCT(($A$7:$A$606&lt;&gt;"")*($G$7:$G$606=$G80)*($H$7:$H$606=$H80)*(ROW($A$7:$A$606)&lt;&gt;80)*($L$7:$L$606&lt;=$M80)*($M$7:$M$606&gt;=$L80))&gt;0,"⚠ Çakışma","OK")))</f>
        <v/>
      </c>
      <c r="P80" s="28" t="str">
        <f aca="false">IF($A80="","",IF(OR($K80="",$H80="",$L80=""),"",IF(SUMPRODUCT(($A$7:$A$606&lt;&gt;"")*($K$7:$K$606=$K80)*($H$7:$H$606=$H80)*(ROW($A$7:$A$606)&lt;&gt;80)*($L$7:$L$606&lt;=$M80)*($M$7:$M$606&gt;=$L80))&gt;0,"⚠ Çakışma","OK")))</f>
        <v/>
      </c>
      <c r="Q80" s="28" t="str">
        <f aca="false">IF($A80="","",IF(OR($E80="",$H80="",$L80=""),"",IF(SUMPRODUCT(($A$7:$A$606&lt;&gt;"")*($E$7:$E$606=$E80)*($H$7:$H$606=$H80)*(ROW($A$7:$A$606)&lt;&gt;80)*($L$7:$L$606&lt;=$M80)*($M$7:$M$606&gt;=$L80))&gt;0,"⚠ Çakışma","OK")))</f>
        <v/>
      </c>
      <c r="R80" s="28" t="str">
        <f aca="false">IF($A80="","",IF(OR($N80&lt;&gt;"",$O80="⚠ Çakışma",$P80="⚠ Çakışma",$Q80="⚠ Çakışma"),"⚠ Kontrol Et","✓ Uygun"))</f>
        <v/>
      </c>
    </row>
    <row r="81" customFormat="false" ht="13.5" hidden="false" customHeight="true" outlineLevel="0" collapsed="false">
      <c r="A81" s="28" t="str">
        <f aca="false">IF('1-Turizm Rehberliği'!A78="","","Turizm Rehberliği")</f>
        <v/>
      </c>
      <c r="B81" s="28" t="str">
        <f aca="false">IF($A81="","",IF('1-Turizm Rehberliği'!A78="","",'1-Turizm Rehberliği'!A78))</f>
        <v/>
      </c>
      <c r="C81" s="29" t="str">
        <f aca="false">IF($A81="","",IF('1-Turizm Rehberliği'!B78="","",'1-Turizm Rehberliği'!B78))</f>
        <v/>
      </c>
      <c r="D81" s="28" t="str">
        <f aca="false">IF($A81="","",IF('1-Turizm Rehberliği'!C78="","",'1-Turizm Rehberliği'!C78))</f>
        <v/>
      </c>
      <c r="E81" s="28" t="str">
        <f aca="false">IF($A81="","",$A81&amp;"-"&amp;$D81)</f>
        <v/>
      </c>
      <c r="F81" s="28" t="str">
        <f aca="false">IF($A81="","",IF('1-Turizm Rehberliği'!D78="","",'1-Turizm Rehberliği'!D78))</f>
        <v/>
      </c>
      <c r="G81" s="28" t="str">
        <f aca="false">IF($A81="","",IF('1-Turizm Rehberliği'!E78="","",'1-Turizm Rehberliği'!E78))</f>
        <v/>
      </c>
      <c r="H81" s="28" t="str">
        <f aca="false">IF($A81="","",IF('1-Turizm Rehberliği'!F78="","",'1-Turizm Rehberliği'!F78))</f>
        <v/>
      </c>
      <c r="I81" s="28" t="str">
        <f aca="false">IF($A81="","",IF('1-Turizm Rehberliği'!G78="","",'1-Turizm Rehberliği'!G78))</f>
        <v/>
      </c>
      <c r="J81" s="28" t="str">
        <f aca="false">IF($A81="","",IF('1-Turizm Rehberliği'!H78="","",'1-Turizm Rehberliği'!H78))</f>
        <v/>
      </c>
      <c r="K81" s="28" t="str">
        <f aca="false">IF($A81="","",IF('1-Turizm Rehberliği'!I78="","",'1-Turizm Rehberliği'!I78))</f>
        <v/>
      </c>
      <c r="L81" s="28" t="str">
        <f aca="false">IF($I81="","",MATCH($I81,{"08.00";"09.00";"10.00";"11.00";"12.00";"13.00";"14.00";"15.00";"16.00";"17.00"},0))</f>
        <v/>
      </c>
      <c r="M81" s="28" t="str">
        <f aca="false">IF(OR($L81="",$J81=""),"",$L81+$J81-1)</f>
        <v/>
      </c>
      <c r="N81" s="28" t="str">
        <f aca="false">IF($A81="","",IF(OR($L81="",$M81=""),"",IF($M81&gt;10,"⚠ Saat Taşıyor","")))</f>
        <v/>
      </c>
      <c r="O81" s="28" t="str">
        <f aca="false">IF($A81="","",IF(OR($G81="",$H81="",$L81=""),"",IF(SUMPRODUCT(($A$7:$A$606&lt;&gt;"")*($G$7:$G$606=$G81)*($H$7:$H$606=$H81)*(ROW($A$7:$A$606)&lt;&gt;81)*($L$7:$L$606&lt;=$M81)*($M$7:$M$606&gt;=$L81))&gt;0,"⚠ Çakışma","OK")))</f>
        <v/>
      </c>
      <c r="P81" s="28" t="str">
        <f aca="false">IF($A81="","",IF(OR($K81="",$H81="",$L81=""),"",IF(SUMPRODUCT(($A$7:$A$606&lt;&gt;"")*($K$7:$K$606=$K81)*($H$7:$H$606=$H81)*(ROW($A$7:$A$606)&lt;&gt;81)*($L$7:$L$606&lt;=$M81)*($M$7:$M$606&gt;=$L81))&gt;0,"⚠ Çakışma","OK")))</f>
        <v/>
      </c>
      <c r="Q81" s="28" t="str">
        <f aca="false">IF($A81="","",IF(OR($E81="",$H81="",$L81=""),"",IF(SUMPRODUCT(($A$7:$A$606&lt;&gt;"")*($E$7:$E$606=$E81)*($H$7:$H$606=$H81)*(ROW($A$7:$A$606)&lt;&gt;81)*($L$7:$L$606&lt;=$M81)*($M$7:$M$606&gt;=$L81))&gt;0,"⚠ Çakışma","OK")))</f>
        <v/>
      </c>
      <c r="R81" s="28" t="str">
        <f aca="false">IF($A81="","",IF(OR($N81&lt;&gt;"",$O81="⚠ Çakışma",$P81="⚠ Çakışma",$Q81="⚠ Çakışma"),"⚠ Kontrol Et","✓ Uygun"))</f>
        <v/>
      </c>
    </row>
    <row r="82" customFormat="false" ht="13.5" hidden="false" customHeight="true" outlineLevel="0" collapsed="false">
      <c r="A82" s="28" t="str">
        <f aca="false">IF('1-Turizm Rehberliği'!A79="","","Turizm Rehberliği")</f>
        <v/>
      </c>
      <c r="B82" s="28" t="str">
        <f aca="false">IF($A82="","",IF('1-Turizm Rehberliği'!A79="","",'1-Turizm Rehberliği'!A79))</f>
        <v/>
      </c>
      <c r="C82" s="29" t="str">
        <f aca="false">IF($A82="","",IF('1-Turizm Rehberliği'!B79="","",'1-Turizm Rehberliği'!B79))</f>
        <v/>
      </c>
      <c r="D82" s="28" t="str">
        <f aca="false">IF($A82="","",IF('1-Turizm Rehberliği'!C79="","",'1-Turizm Rehberliği'!C79))</f>
        <v/>
      </c>
      <c r="E82" s="28" t="str">
        <f aca="false">IF($A82="","",$A82&amp;"-"&amp;$D82)</f>
        <v/>
      </c>
      <c r="F82" s="28" t="str">
        <f aca="false">IF($A82="","",IF('1-Turizm Rehberliği'!D79="","",'1-Turizm Rehberliği'!D79))</f>
        <v/>
      </c>
      <c r="G82" s="28" t="str">
        <f aca="false">IF($A82="","",IF('1-Turizm Rehberliği'!E79="","",'1-Turizm Rehberliği'!E79))</f>
        <v/>
      </c>
      <c r="H82" s="28" t="str">
        <f aca="false">IF($A82="","",IF('1-Turizm Rehberliği'!F79="","",'1-Turizm Rehberliği'!F79))</f>
        <v/>
      </c>
      <c r="I82" s="28" t="str">
        <f aca="false">IF($A82="","",IF('1-Turizm Rehberliği'!G79="","",'1-Turizm Rehberliği'!G79))</f>
        <v/>
      </c>
      <c r="J82" s="28" t="str">
        <f aca="false">IF($A82="","",IF('1-Turizm Rehberliği'!H79="","",'1-Turizm Rehberliği'!H79))</f>
        <v/>
      </c>
      <c r="K82" s="28" t="str">
        <f aca="false">IF($A82="","",IF('1-Turizm Rehberliği'!I79="","",'1-Turizm Rehberliği'!I79))</f>
        <v/>
      </c>
      <c r="L82" s="28" t="str">
        <f aca="false">IF($I82="","",MATCH($I82,{"08.00";"09.00";"10.00";"11.00";"12.00";"13.00";"14.00";"15.00";"16.00";"17.00"},0))</f>
        <v/>
      </c>
      <c r="M82" s="28" t="str">
        <f aca="false">IF(OR($L82="",$J82=""),"",$L82+$J82-1)</f>
        <v/>
      </c>
      <c r="N82" s="28" t="str">
        <f aca="false">IF($A82="","",IF(OR($L82="",$M82=""),"",IF($M82&gt;10,"⚠ Saat Taşıyor","")))</f>
        <v/>
      </c>
      <c r="O82" s="28" t="str">
        <f aca="false">IF($A82="","",IF(OR($G82="",$H82="",$L82=""),"",IF(SUMPRODUCT(($A$7:$A$606&lt;&gt;"")*($G$7:$G$606=$G82)*($H$7:$H$606=$H82)*(ROW($A$7:$A$606)&lt;&gt;82)*($L$7:$L$606&lt;=$M82)*($M$7:$M$606&gt;=$L82))&gt;0,"⚠ Çakışma","OK")))</f>
        <v/>
      </c>
      <c r="P82" s="28" t="str">
        <f aca="false">IF($A82="","",IF(OR($K82="",$H82="",$L82=""),"",IF(SUMPRODUCT(($A$7:$A$606&lt;&gt;"")*($K$7:$K$606=$K82)*($H$7:$H$606=$H82)*(ROW($A$7:$A$606)&lt;&gt;82)*($L$7:$L$606&lt;=$M82)*($M$7:$M$606&gt;=$L82))&gt;0,"⚠ Çakışma","OK")))</f>
        <v/>
      </c>
      <c r="Q82" s="28" t="str">
        <f aca="false">IF($A82="","",IF(OR($E82="",$H82="",$L82=""),"",IF(SUMPRODUCT(($A$7:$A$606&lt;&gt;"")*($E$7:$E$606=$E82)*($H$7:$H$606=$H82)*(ROW($A$7:$A$606)&lt;&gt;82)*($L$7:$L$606&lt;=$M82)*($M$7:$M$606&gt;=$L82))&gt;0,"⚠ Çakışma","OK")))</f>
        <v/>
      </c>
      <c r="R82" s="28" t="str">
        <f aca="false">IF($A82="","",IF(OR($N82&lt;&gt;"",$O82="⚠ Çakışma",$P82="⚠ Çakışma",$Q82="⚠ Çakışma"),"⚠ Kontrol Et","✓ Uygun"))</f>
        <v/>
      </c>
    </row>
    <row r="83" customFormat="false" ht="13.5" hidden="false" customHeight="true" outlineLevel="0" collapsed="false">
      <c r="A83" s="28" t="str">
        <f aca="false">IF('1-Turizm Rehberliği'!A80="","","Turizm Rehberliği")</f>
        <v/>
      </c>
      <c r="B83" s="28" t="str">
        <f aca="false">IF($A83="","",IF('1-Turizm Rehberliği'!A80="","",'1-Turizm Rehberliği'!A80))</f>
        <v/>
      </c>
      <c r="C83" s="29" t="str">
        <f aca="false">IF($A83="","",IF('1-Turizm Rehberliği'!B80="","",'1-Turizm Rehberliği'!B80))</f>
        <v/>
      </c>
      <c r="D83" s="28" t="str">
        <f aca="false">IF($A83="","",IF('1-Turizm Rehberliği'!C80="","",'1-Turizm Rehberliği'!C80))</f>
        <v/>
      </c>
      <c r="E83" s="28" t="str">
        <f aca="false">IF($A83="","",$A83&amp;"-"&amp;$D83)</f>
        <v/>
      </c>
      <c r="F83" s="28" t="str">
        <f aca="false">IF($A83="","",IF('1-Turizm Rehberliği'!D80="","",'1-Turizm Rehberliği'!D80))</f>
        <v/>
      </c>
      <c r="G83" s="28" t="str">
        <f aca="false">IF($A83="","",IF('1-Turizm Rehberliği'!E80="","",'1-Turizm Rehberliği'!E80))</f>
        <v/>
      </c>
      <c r="H83" s="28" t="str">
        <f aca="false">IF($A83="","",IF('1-Turizm Rehberliği'!F80="","",'1-Turizm Rehberliği'!F80))</f>
        <v/>
      </c>
      <c r="I83" s="28" t="str">
        <f aca="false">IF($A83="","",IF('1-Turizm Rehberliği'!G80="","",'1-Turizm Rehberliği'!G80))</f>
        <v/>
      </c>
      <c r="J83" s="28" t="str">
        <f aca="false">IF($A83="","",IF('1-Turizm Rehberliği'!H80="","",'1-Turizm Rehberliği'!H80))</f>
        <v/>
      </c>
      <c r="K83" s="28" t="str">
        <f aca="false">IF($A83="","",IF('1-Turizm Rehberliği'!I80="","",'1-Turizm Rehberliği'!I80))</f>
        <v/>
      </c>
      <c r="L83" s="28" t="str">
        <f aca="false">IF($I83="","",MATCH($I83,{"08.00";"09.00";"10.00";"11.00";"12.00";"13.00";"14.00";"15.00";"16.00";"17.00"},0))</f>
        <v/>
      </c>
      <c r="M83" s="28" t="str">
        <f aca="false">IF(OR($L83="",$J83=""),"",$L83+$J83-1)</f>
        <v/>
      </c>
      <c r="N83" s="28" t="str">
        <f aca="false">IF($A83="","",IF(OR($L83="",$M83=""),"",IF($M83&gt;10,"⚠ Saat Taşıyor","")))</f>
        <v/>
      </c>
      <c r="O83" s="28" t="str">
        <f aca="false">IF($A83="","",IF(OR($G83="",$H83="",$L83=""),"",IF(SUMPRODUCT(($A$7:$A$606&lt;&gt;"")*($G$7:$G$606=$G83)*($H$7:$H$606=$H83)*(ROW($A$7:$A$606)&lt;&gt;83)*($L$7:$L$606&lt;=$M83)*($M$7:$M$606&gt;=$L83))&gt;0,"⚠ Çakışma","OK")))</f>
        <v/>
      </c>
      <c r="P83" s="28" t="str">
        <f aca="false">IF($A83="","",IF(OR($K83="",$H83="",$L83=""),"",IF(SUMPRODUCT(($A$7:$A$606&lt;&gt;"")*($K$7:$K$606=$K83)*($H$7:$H$606=$H83)*(ROW($A$7:$A$606)&lt;&gt;83)*($L$7:$L$606&lt;=$M83)*($M$7:$M$606&gt;=$L83))&gt;0,"⚠ Çakışma","OK")))</f>
        <v/>
      </c>
      <c r="Q83" s="28" t="str">
        <f aca="false">IF($A83="","",IF(OR($E83="",$H83="",$L83=""),"",IF(SUMPRODUCT(($A$7:$A$606&lt;&gt;"")*($E$7:$E$606=$E83)*($H$7:$H$606=$H83)*(ROW($A$7:$A$606)&lt;&gt;83)*($L$7:$L$606&lt;=$M83)*($M$7:$M$606&gt;=$L83))&gt;0,"⚠ Çakışma","OK")))</f>
        <v/>
      </c>
      <c r="R83" s="28" t="str">
        <f aca="false">IF($A83="","",IF(OR($N83&lt;&gt;"",$O83="⚠ Çakışma",$P83="⚠ Çakışma",$Q83="⚠ Çakışma"),"⚠ Kontrol Et","✓ Uygun"))</f>
        <v/>
      </c>
    </row>
    <row r="84" customFormat="false" ht="13.5" hidden="false" customHeight="true" outlineLevel="0" collapsed="false">
      <c r="A84" s="28" t="str">
        <f aca="false">IF('1-Turizm Rehberliği'!A81="","","Turizm Rehberliği")</f>
        <v/>
      </c>
      <c r="B84" s="28" t="str">
        <f aca="false">IF($A84="","",IF('1-Turizm Rehberliği'!A81="","",'1-Turizm Rehberliği'!A81))</f>
        <v/>
      </c>
      <c r="C84" s="29" t="str">
        <f aca="false">IF($A84="","",IF('1-Turizm Rehberliği'!B81="","",'1-Turizm Rehberliği'!B81))</f>
        <v/>
      </c>
      <c r="D84" s="28" t="str">
        <f aca="false">IF($A84="","",IF('1-Turizm Rehberliği'!C81="","",'1-Turizm Rehberliği'!C81))</f>
        <v/>
      </c>
      <c r="E84" s="28" t="str">
        <f aca="false">IF($A84="","",$A84&amp;"-"&amp;$D84)</f>
        <v/>
      </c>
      <c r="F84" s="28" t="str">
        <f aca="false">IF($A84="","",IF('1-Turizm Rehberliği'!D81="","",'1-Turizm Rehberliği'!D81))</f>
        <v/>
      </c>
      <c r="G84" s="28" t="str">
        <f aca="false">IF($A84="","",IF('1-Turizm Rehberliği'!E81="","",'1-Turizm Rehberliği'!E81))</f>
        <v/>
      </c>
      <c r="H84" s="28" t="str">
        <f aca="false">IF($A84="","",IF('1-Turizm Rehberliği'!F81="","",'1-Turizm Rehberliği'!F81))</f>
        <v/>
      </c>
      <c r="I84" s="28" t="str">
        <f aca="false">IF($A84="","",IF('1-Turizm Rehberliği'!G81="","",'1-Turizm Rehberliği'!G81))</f>
        <v/>
      </c>
      <c r="J84" s="28" t="str">
        <f aca="false">IF($A84="","",IF('1-Turizm Rehberliği'!H81="","",'1-Turizm Rehberliği'!H81))</f>
        <v/>
      </c>
      <c r="K84" s="28" t="str">
        <f aca="false">IF($A84="","",IF('1-Turizm Rehberliği'!I81="","",'1-Turizm Rehberliği'!I81))</f>
        <v/>
      </c>
      <c r="L84" s="28" t="str">
        <f aca="false">IF($I84="","",MATCH($I84,{"08.00";"09.00";"10.00";"11.00";"12.00";"13.00";"14.00";"15.00";"16.00";"17.00"},0))</f>
        <v/>
      </c>
      <c r="M84" s="28" t="str">
        <f aca="false">IF(OR($L84="",$J84=""),"",$L84+$J84-1)</f>
        <v/>
      </c>
      <c r="N84" s="28" t="str">
        <f aca="false">IF($A84="","",IF(OR($L84="",$M84=""),"",IF($M84&gt;10,"⚠ Saat Taşıyor","")))</f>
        <v/>
      </c>
      <c r="O84" s="28" t="str">
        <f aca="false">IF($A84="","",IF(OR($G84="",$H84="",$L84=""),"",IF(SUMPRODUCT(($A$7:$A$606&lt;&gt;"")*($G$7:$G$606=$G84)*($H$7:$H$606=$H84)*(ROW($A$7:$A$606)&lt;&gt;84)*($L$7:$L$606&lt;=$M84)*($M$7:$M$606&gt;=$L84))&gt;0,"⚠ Çakışma","OK")))</f>
        <v/>
      </c>
      <c r="P84" s="28" t="str">
        <f aca="false">IF($A84="","",IF(OR($K84="",$H84="",$L84=""),"",IF(SUMPRODUCT(($A$7:$A$606&lt;&gt;"")*($K$7:$K$606=$K84)*($H$7:$H$606=$H84)*(ROW($A$7:$A$606)&lt;&gt;84)*($L$7:$L$606&lt;=$M84)*($M$7:$M$606&gt;=$L84))&gt;0,"⚠ Çakışma","OK")))</f>
        <v/>
      </c>
      <c r="Q84" s="28" t="str">
        <f aca="false">IF($A84="","",IF(OR($E84="",$H84="",$L84=""),"",IF(SUMPRODUCT(($A$7:$A$606&lt;&gt;"")*($E$7:$E$606=$E84)*($H$7:$H$606=$H84)*(ROW($A$7:$A$606)&lt;&gt;84)*($L$7:$L$606&lt;=$M84)*($M$7:$M$606&gt;=$L84))&gt;0,"⚠ Çakışma","OK")))</f>
        <v/>
      </c>
      <c r="R84" s="28" t="str">
        <f aca="false">IF($A84="","",IF(OR($N84&lt;&gt;"",$O84="⚠ Çakışma",$P84="⚠ Çakışma",$Q84="⚠ Çakışma"),"⚠ Kontrol Et","✓ Uygun"))</f>
        <v/>
      </c>
    </row>
    <row r="85" customFormat="false" ht="13.5" hidden="false" customHeight="true" outlineLevel="0" collapsed="false">
      <c r="A85" s="28" t="str">
        <f aca="false">IF('1-Turizm Rehberliği'!A82="","","Turizm Rehberliği")</f>
        <v/>
      </c>
      <c r="B85" s="28" t="str">
        <f aca="false">IF($A85="","",IF('1-Turizm Rehberliği'!A82="","",'1-Turizm Rehberliği'!A82))</f>
        <v/>
      </c>
      <c r="C85" s="29" t="str">
        <f aca="false">IF($A85="","",IF('1-Turizm Rehberliği'!B82="","",'1-Turizm Rehberliği'!B82))</f>
        <v/>
      </c>
      <c r="D85" s="28" t="str">
        <f aca="false">IF($A85="","",IF('1-Turizm Rehberliği'!C82="","",'1-Turizm Rehberliği'!C82))</f>
        <v/>
      </c>
      <c r="E85" s="28" t="str">
        <f aca="false">IF($A85="","",$A85&amp;"-"&amp;$D85)</f>
        <v/>
      </c>
      <c r="F85" s="28" t="str">
        <f aca="false">IF($A85="","",IF('1-Turizm Rehberliği'!D82="","",'1-Turizm Rehberliği'!D82))</f>
        <v/>
      </c>
      <c r="G85" s="28" t="str">
        <f aca="false">IF($A85="","",IF('1-Turizm Rehberliği'!E82="","",'1-Turizm Rehberliği'!E82))</f>
        <v/>
      </c>
      <c r="H85" s="28" t="str">
        <f aca="false">IF($A85="","",IF('1-Turizm Rehberliği'!F82="","",'1-Turizm Rehberliği'!F82))</f>
        <v/>
      </c>
      <c r="I85" s="28" t="str">
        <f aca="false">IF($A85="","",IF('1-Turizm Rehberliği'!G82="","",'1-Turizm Rehberliği'!G82))</f>
        <v/>
      </c>
      <c r="J85" s="28" t="str">
        <f aca="false">IF($A85="","",IF('1-Turizm Rehberliği'!H82="","",'1-Turizm Rehberliği'!H82))</f>
        <v/>
      </c>
      <c r="K85" s="28" t="str">
        <f aca="false">IF($A85="","",IF('1-Turizm Rehberliği'!I82="","",'1-Turizm Rehberliği'!I82))</f>
        <v/>
      </c>
      <c r="L85" s="28" t="str">
        <f aca="false">IF($I85="","",MATCH($I85,{"08.00";"09.00";"10.00";"11.00";"12.00";"13.00";"14.00";"15.00";"16.00";"17.00"},0))</f>
        <v/>
      </c>
      <c r="M85" s="28" t="str">
        <f aca="false">IF(OR($L85="",$J85=""),"",$L85+$J85-1)</f>
        <v/>
      </c>
      <c r="N85" s="28" t="str">
        <f aca="false">IF($A85="","",IF(OR($L85="",$M85=""),"",IF($M85&gt;10,"⚠ Saat Taşıyor","")))</f>
        <v/>
      </c>
      <c r="O85" s="28" t="str">
        <f aca="false">IF($A85="","",IF(OR($G85="",$H85="",$L85=""),"",IF(SUMPRODUCT(($A$7:$A$606&lt;&gt;"")*($G$7:$G$606=$G85)*($H$7:$H$606=$H85)*(ROW($A$7:$A$606)&lt;&gt;85)*($L$7:$L$606&lt;=$M85)*($M$7:$M$606&gt;=$L85))&gt;0,"⚠ Çakışma","OK")))</f>
        <v/>
      </c>
      <c r="P85" s="28" t="str">
        <f aca="false">IF($A85="","",IF(OR($K85="",$H85="",$L85=""),"",IF(SUMPRODUCT(($A$7:$A$606&lt;&gt;"")*($K$7:$K$606=$K85)*($H$7:$H$606=$H85)*(ROW($A$7:$A$606)&lt;&gt;85)*($L$7:$L$606&lt;=$M85)*($M$7:$M$606&gt;=$L85))&gt;0,"⚠ Çakışma","OK")))</f>
        <v/>
      </c>
      <c r="Q85" s="28" t="str">
        <f aca="false">IF($A85="","",IF(OR($E85="",$H85="",$L85=""),"",IF(SUMPRODUCT(($A$7:$A$606&lt;&gt;"")*($E$7:$E$606=$E85)*($H$7:$H$606=$H85)*(ROW($A$7:$A$606)&lt;&gt;85)*($L$7:$L$606&lt;=$M85)*($M$7:$M$606&gt;=$L85))&gt;0,"⚠ Çakışma","OK")))</f>
        <v/>
      </c>
      <c r="R85" s="28" t="str">
        <f aca="false">IF($A85="","",IF(OR($N85&lt;&gt;"",$O85="⚠ Çakışma",$P85="⚠ Çakışma",$Q85="⚠ Çakışma"),"⚠ Kontrol Et","✓ Uygun"))</f>
        <v/>
      </c>
    </row>
    <row r="86" customFormat="false" ht="13.5" hidden="false" customHeight="true" outlineLevel="0" collapsed="false">
      <c r="A86" s="28" t="str">
        <f aca="false">IF('1-Turizm Rehberliği'!A83="","","Turizm Rehberliği")</f>
        <v/>
      </c>
      <c r="B86" s="28" t="str">
        <f aca="false">IF($A86="","",IF('1-Turizm Rehberliği'!A83="","",'1-Turizm Rehberliği'!A83))</f>
        <v/>
      </c>
      <c r="C86" s="29" t="str">
        <f aca="false">IF($A86="","",IF('1-Turizm Rehberliği'!B83="","",'1-Turizm Rehberliği'!B83))</f>
        <v/>
      </c>
      <c r="D86" s="28" t="str">
        <f aca="false">IF($A86="","",IF('1-Turizm Rehberliği'!C83="","",'1-Turizm Rehberliği'!C83))</f>
        <v/>
      </c>
      <c r="E86" s="28" t="str">
        <f aca="false">IF($A86="","",$A86&amp;"-"&amp;$D86)</f>
        <v/>
      </c>
      <c r="F86" s="28" t="str">
        <f aca="false">IF($A86="","",IF('1-Turizm Rehberliği'!D83="","",'1-Turizm Rehberliği'!D83))</f>
        <v/>
      </c>
      <c r="G86" s="28" t="str">
        <f aca="false">IF($A86="","",IF('1-Turizm Rehberliği'!E83="","",'1-Turizm Rehberliği'!E83))</f>
        <v/>
      </c>
      <c r="H86" s="28" t="str">
        <f aca="false">IF($A86="","",IF('1-Turizm Rehberliği'!F83="","",'1-Turizm Rehberliği'!F83))</f>
        <v/>
      </c>
      <c r="I86" s="28" t="str">
        <f aca="false">IF($A86="","",IF('1-Turizm Rehberliği'!G83="","",'1-Turizm Rehberliği'!G83))</f>
        <v/>
      </c>
      <c r="J86" s="28" t="str">
        <f aca="false">IF($A86="","",IF('1-Turizm Rehberliği'!H83="","",'1-Turizm Rehberliği'!H83))</f>
        <v/>
      </c>
      <c r="K86" s="28" t="str">
        <f aca="false">IF($A86="","",IF('1-Turizm Rehberliği'!I83="","",'1-Turizm Rehberliği'!I83))</f>
        <v/>
      </c>
      <c r="L86" s="28" t="str">
        <f aca="false">IF($I86="","",MATCH($I86,{"08.00";"09.00";"10.00";"11.00";"12.00";"13.00";"14.00";"15.00";"16.00";"17.00"},0))</f>
        <v/>
      </c>
      <c r="M86" s="28" t="str">
        <f aca="false">IF(OR($L86="",$J86=""),"",$L86+$J86-1)</f>
        <v/>
      </c>
      <c r="N86" s="28" t="str">
        <f aca="false">IF($A86="","",IF(OR($L86="",$M86=""),"",IF($M86&gt;10,"⚠ Saat Taşıyor","")))</f>
        <v/>
      </c>
      <c r="O86" s="28" t="str">
        <f aca="false">IF($A86="","",IF(OR($G86="",$H86="",$L86=""),"",IF(SUMPRODUCT(($A$7:$A$606&lt;&gt;"")*($G$7:$G$606=$G86)*($H$7:$H$606=$H86)*(ROW($A$7:$A$606)&lt;&gt;86)*($L$7:$L$606&lt;=$M86)*($M$7:$M$606&gt;=$L86))&gt;0,"⚠ Çakışma","OK")))</f>
        <v/>
      </c>
      <c r="P86" s="28" t="str">
        <f aca="false">IF($A86="","",IF(OR($K86="",$H86="",$L86=""),"",IF(SUMPRODUCT(($A$7:$A$606&lt;&gt;"")*($K$7:$K$606=$K86)*($H$7:$H$606=$H86)*(ROW($A$7:$A$606)&lt;&gt;86)*($L$7:$L$606&lt;=$M86)*($M$7:$M$606&gt;=$L86))&gt;0,"⚠ Çakışma","OK")))</f>
        <v/>
      </c>
      <c r="Q86" s="28" t="str">
        <f aca="false">IF($A86="","",IF(OR($E86="",$H86="",$L86=""),"",IF(SUMPRODUCT(($A$7:$A$606&lt;&gt;"")*($E$7:$E$606=$E86)*($H$7:$H$606=$H86)*(ROW($A$7:$A$606)&lt;&gt;86)*($L$7:$L$606&lt;=$M86)*($M$7:$M$606&gt;=$L86))&gt;0,"⚠ Çakışma","OK")))</f>
        <v/>
      </c>
      <c r="R86" s="28" t="str">
        <f aca="false">IF($A86="","",IF(OR($N86&lt;&gt;"",$O86="⚠ Çakışma",$P86="⚠ Çakışma",$Q86="⚠ Çakışma"),"⚠ Kontrol Et","✓ Uygun"))</f>
        <v/>
      </c>
    </row>
    <row r="87" customFormat="false" ht="13.5" hidden="false" customHeight="true" outlineLevel="0" collapsed="false">
      <c r="A87" s="28" t="str">
        <f aca="false">IF('1-Turizm Rehberliği'!A84="","","Turizm Rehberliği")</f>
        <v/>
      </c>
      <c r="B87" s="28" t="str">
        <f aca="false">IF($A87="","",IF('1-Turizm Rehberliği'!A84="","",'1-Turizm Rehberliği'!A84))</f>
        <v/>
      </c>
      <c r="C87" s="29" t="str">
        <f aca="false">IF($A87="","",IF('1-Turizm Rehberliği'!B84="","",'1-Turizm Rehberliği'!B84))</f>
        <v/>
      </c>
      <c r="D87" s="28" t="str">
        <f aca="false">IF($A87="","",IF('1-Turizm Rehberliği'!C84="","",'1-Turizm Rehberliği'!C84))</f>
        <v/>
      </c>
      <c r="E87" s="28" t="str">
        <f aca="false">IF($A87="","",$A87&amp;"-"&amp;$D87)</f>
        <v/>
      </c>
      <c r="F87" s="28" t="str">
        <f aca="false">IF($A87="","",IF('1-Turizm Rehberliği'!D84="","",'1-Turizm Rehberliği'!D84))</f>
        <v/>
      </c>
      <c r="G87" s="28" t="str">
        <f aca="false">IF($A87="","",IF('1-Turizm Rehberliği'!E84="","",'1-Turizm Rehberliği'!E84))</f>
        <v/>
      </c>
      <c r="H87" s="28" t="str">
        <f aca="false">IF($A87="","",IF('1-Turizm Rehberliği'!F84="","",'1-Turizm Rehberliği'!F84))</f>
        <v/>
      </c>
      <c r="I87" s="28" t="str">
        <f aca="false">IF($A87="","",IF('1-Turizm Rehberliği'!G84="","",'1-Turizm Rehberliği'!G84))</f>
        <v/>
      </c>
      <c r="J87" s="28" t="str">
        <f aca="false">IF($A87="","",IF('1-Turizm Rehberliği'!H84="","",'1-Turizm Rehberliği'!H84))</f>
        <v/>
      </c>
      <c r="K87" s="28" t="str">
        <f aca="false">IF($A87="","",IF('1-Turizm Rehberliği'!I84="","",'1-Turizm Rehberliği'!I84))</f>
        <v/>
      </c>
      <c r="L87" s="28" t="str">
        <f aca="false">IF($I87="","",MATCH($I87,{"08.00";"09.00";"10.00";"11.00";"12.00";"13.00";"14.00";"15.00";"16.00";"17.00"},0))</f>
        <v/>
      </c>
      <c r="M87" s="28" t="str">
        <f aca="false">IF(OR($L87="",$J87=""),"",$L87+$J87-1)</f>
        <v/>
      </c>
      <c r="N87" s="28" t="str">
        <f aca="false">IF($A87="","",IF(OR($L87="",$M87=""),"",IF($M87&gt;10,"⚠ Saat Taşıyor","")))</f>
        <v/>
      </c>
      <c r="O87" s="28" t="str">
        <f aca="false">IF($A87="","",IF(OR($G87="",$H87="",$L87=""),"",IF(SUMPRODUCT(($A$7:$A$606&lt;&gt;"")*($G$7:$G$606=$G87)*($H$7:$H$606=$H87)*(ROW($A$7:$A$606)&lt;&gt;87)*($L$7:$L$606&lt;=$M87)*($M$7:$M$606&gt;=$L87))&gt;0,"⚠ Çakışma","OK")))</f>
        <v/>
      </c>
      <c r="P87" s="28" t="str">
        <f aca="false">IF($A87="","",IF(OR($K87="",$H87="",$L87=""),"",IF(SUMPRODUCT(($A$7:$A$606&lt;&gt;"")*($K$7:$K$606=$K87)*($H$7:$H$606=$H87)*(ROW($A$7:$A$606)&lt;&gt;87)*($L$7:$L$606&lt;=$M87)*($M$7:$M$606&gt;=$L87))&gt;0,"⚠ Çakışma","OK")))</f>
        <v/>
      </c>
      <c r="Q87" s="28" t="str">
        <f aca="false">IF($A87="","",IF(OR($E87="",$H87="",$L87=""),"",IF(SUMPRODUCT(($A$7:$A$606&lt;&gt;"")*($E$7:$E$606=$E87)*($H$7:$H$606=$H87)*(ROW($A$7:$A$606)&lt;&gt;87)*($L$7:$L$606&lt;=$M87)*($M$7:$M$606&gt;=$L87))&gt;0,"⚠ Çakışma","OK")))</f>
        <v/>
      </c>
      <c r="R87" s="28" t="str">
        <f aca="false">IF($A87="","",IF(OR($N87&lt;&gt;"",$O87="⚠ Çakışma",$P87="⚠ Çakışma",$Q87="⚠ Çakışma"),"⚠ Kontrol Et","✓ Uygun"))</f>
        <v/>
      </c>
    </row>
    <row r="88" customFormat="false" ht="13.5" hidden="false" customHeight="true" outlineLevel="0" collapsed="false">
      <c r="A88" s="28" t="str">
        <f aca="false">IF('1-Turizm Rehberliği'!A85="","","Turizm Rehberliği")</f>
        <v/>
      </c>
      <c r="B88" s="28" t="str">
        <f aca="false">IF($A88="","",IF('1-Turizm Rehberliği'!A85="","",'1-Turizm Rehberliği'!A85))</f>
        <v/>
      </c>
      <c r="C88" s="29" t="str">
        <f aca="false">IF($A88="","",IF('1-Turizm Rehberliği'!B85="","",'1-Turizm Rehberliği'!B85))</f>
        <v/>
      </c>
      <c r="D88" s="28" t="str">
        <f aca="false">IF($A88="","",IF('1-Turizm Rehberliği'!C85="","",'1-Turizm Rehberliği'!C85))</f>
        <v/>
      </c>
      <c r="E88" s="28" t="str">
        <f aca="false">IF($A88="","",$A88&amp;"-"&amp;$D88)</f>
        <v/>
      </c>
      <c r="F88" s="28" t="str">
        <f aca="false">IF($A88="","",IF('1-Turizm Rehberliği'!D85="","",'1-Turizm Rehberliği'!D85))</f>
        <v/>
      </c>
      <c r="G88" s="28" t="str">
        <f aca="false">IF($A88="","",IF('1-Turizm Rehberliği'!E85="","",'1-Turizm Rehberliği'!E85))</f>
        <v/>
      </c>
      <c r="H88" s="28" t="str">
        <f aca="false">IF($A88="","",IF('1-Turizm Rehberliği'!F85="","",'1-Turizm Rehberliği'!F85))</f>
        <v/>
      </c>
      <c r="I88" s="28" t="str">
        <f aca="false">IF($A88="","",IF('1-Turizm Rehberliği'!G85="","",'1-Turizm Rehberliği'!G85))</f>
        <v/>
      </c>
      <c r="J88" s="28" t="str">
        <f aca="false">IF($A88="","",IF('1-Turizm Rehberliği'!H85="","",'1-Turizm Rehberliği'!H85))</f>
        <v/>
      </c>
      <c r="K88" s="28" t="str">
        <f aca="false">IF($A88="","",IF('1-Turizm Rehberliği'!I85="","",'1-Turizm Rehberliği'!I85))</f>
        <v/>
      </c>
      <c r="L88" s="28" t="str">
        <f aca="false">IF($I88="","",MATCH($I88,{"08.00";"09.00";"10.00";"11.00";"12.00";"13.00";"14.00";"15.00";"16.00";"17.00"},0))</f>
        <v/>
      </c>
      <c r="M88" s="28" t="str">
        <f aca="false">IF(OR($L88="",$J88=""),"",$L88+$J88-1)</f>
        <v/>
      </c>
      <c r="N88" s="28" t="str">
        <f aca="false">IF($A88="","",IF(OR($L88="",$M88=""),"",IF($M88&gt;10,"⚠ Saat Taşıyor","")))</f>
        <v/>
      </c>
      <c r="O88" s="28" t="str">
        <f aca="false">IF($A88="","",IF(OR($G88="",$H88="",$L88=""),"",IF(SUMPRODUCT(($A$7:$A$606&lt;&gt;"")*($G$7:$G$606=$G88)*($H$7:$H$606=$H88)*(ROW($A$7:$A$606)&lt;&gt;88)*($L$7:$L$606&lt;=$M88)*($M$7:$M$606&gt;=$L88))&gt;0,"⚠ Çakışma","OK")))</f>
        <v/>
      </c>
      <c r="P88" s="28" t="str">
        <f aca="false">IF($A88="","",IF(OR($K88="",$H88="",$L88=""),"",IF(SUMPRODUCT(($A$7:$A$606&lt;&gt;"")*($K$7:$K$606=$K88)*($H$7:$H$606=$H88)*(ROW($A$7:$A$606)&lt;&gt;88)*($L$7:$L$606&lt;=$M88)*($M$7:$M$606&gt;=$L88))&gt;0,"⚠ Çakışma","OK")))</f>
        <v/>
      </c>
      <c r="Q88" s="28" t="str">
        <f aca="false">IF($A88="","",IF(OR($E88="",$H88="",$L88=""),"",IF(SUMPRODUCT(($A$7:$A$606&lt;&gt;"")*($E$7:$E$606=$E88)*($H$7:$H$606=$H88)*(ROW($A$7:$A$606)&lt;&gt;88)*($L$7:$L$606&lt;=$M88)*($M$7:$M$606&gt;=$L88))&gt;0,"⚠ Çakışma","OK")))</f>
        <v/>
      </c>
      <c r="R88" s="28" t="str">
        <f aca="false">IF($A88="","",IF(OR($N88&lt;&gt;"",$O88="⚠ Çakışma",$P88="⚠ Çakışma",$Q88="⚠ Çakışma"),"⚠ Kontrol Et","✓ Uygun"))</f>
        <v/>
      </c>
    </row>
    <row r="89" customFormat="false" ht="13.5" hidden="false" customHeight="true" outlineLevel="0" collapsed="false">
      <c r="A89" s="28" t="str">
        <f aca="false">IF('1-Turizm Rehberliği'!A86="","","Turizm Rehberliği")</f>
        <v/>
      </c>
      <c r="B89" s="28" t="str">
        <f aca="false">IF($A89="","",IF('1-Turizm Rehberliği'!A86="","",'1-Turizm Rehberliği'!A86))</f>
        <v/>
      </c>
      <c r="C89" s="29" t="str">
        <f aca="false">IF($A89="","",IF('1-Turizm Rehberliği'!B86="","",'1-Turizm Rehberliği'!B86))</f>
        <v/>
      </c>
      <c r="D89" s="28" t="str">
        <f aca="false">IF($A89="","",IF('1-Turizm Rehberliği'!C86="","",'1-Turizm Rehberliği'!C86))</f>
        <v/>
      </c>
      <c r="E89" s="28" t="str">
        <f aca="false">IF($A89="","",$A89&amp;"-"&amp;$D89)</f>
        <v/>
      </c>
      <c r="F89" s="28" t="str">
        <f aca="false">IF($A89="","",IF('1-Turizm Rehberliği'!D86="","",'1-Turizm Rehberliği'!D86))</f>
        <v/>
      </c>
      <c r="G89" s="28" t="str">
        <f aca="false">IF($A89="","",IF('1-Turizm Rehberliği'!E86="","",'1-Turizm Rehberliği'!E86))</f>
        <v/>
      </c>
      <c r="H89" s="28" t="str">
        <f aca="false">IF($A89="","",IF('1-Turizm Rehberliği'!F86="","",'1-Turizm Rehberliği'!F86))</f>
        <v/>
      </c>
      <c r="I89" s="28" t="str">
        <f aca="false">IF($A89="","",IF('1-Turizm Rehberliği'!G86="","",'1-Turizm Rehberliği'!G86))</f>
        <v/>
      </c>
      <c r="J89" s="28" t="str">
        <f aca="false">IF($A89="","",IF('1-Turizm Rehberliği'!H86="","",'1-Turizm Rehberliği'!H86))</f>
        <v/>
      </c>
      <c r="K89" s="28" t="str">
        <f aca="false">IF($A89="","",IF('1-Turizm Rehberliği'!I86="","",'1-Turizm Rehberliği'!I86))</f>
        <v/>
      </c>
      <c r="L89" s="28" t="str">
        <f aca="false">IF($I89="","",MATCH($I89,{"08.00";"09.00";"10.00";"11.00";"12.00";"13.00";"14.00";"15.00";"16.00";"17.00"},0))</f>
        <v/>
      </c>
      <c r="M89" s="28" t="str">
        <f aca="false">IF(OR($L89="",$J89=""),"",$L89+$J89-1)</f>
        <v/>
      </c>
      <c r="N89" s="28" t="str">
        <f aca="false">IF($A89="","",IF(OR($L89="",$M89=""),"",IF($M89&gt;10,"⚠ Saat Taşıyor","")))</f>
        <v/>
      </c>
      <c r="O89" s="28" t="str">
        <f aca="false">IF($A89="","",IF(OR($G89="",$H89="",$L89=""),"",IF(SUMPRODUCT(($A$7:$A$606&lt;&gt;"")*($G$7:$G$606=$G89)*($H$7:$H$606=$H89)*(ROW($A$7:$A$606)&lt;&gt;89)*($L$7:$L$606&lt;=$M89)*($M$7:$M$606&gt;=$L89))&gt;0,"⚠ Çakışma","OK")))</f>
        <v/>
      </c>
      <c r="P89" s="28" t="str">
        <f aca="false">IF($A89="","",IF(OR($K89="",$H89="",$L89=""),"",IF(SUMPRODUCT(($A$7:$A$606&lt;&gt;"")*($K$7:$K$606=$K89)*($H$7:$H$606=$H89)*(ROW($A$7:$A$606)&lt;&gt;89)*($L$7:$L$606&lt;=$M89)*($M$7:$M$606&gt;=$L89))&gt;0,"⚠ Çakışma","OK")))</f>
        <v/>
      </c>
      <c r="Q89" s="28" t="str">
        <f aca="false">IF($A89="","",IF(OR($E89="",$H89="",$L89=""),"",IF(SUMPRODUCT(($A$7:$A$606&lt;&gt;"")*($E$7:$E$606=$E89)*($H$7:$H$606=$H89)*(ROW($A$7:$A$606)&lt;&gt;89)*($L$7:$L$606&lt;=$M89)*($M$7:$M$606&gt;=$L89))&gt;0,"⚠ Çakışma","OK")))</f>
        <v/>
      </c>
      <c r="R89" s="28" t="str">
        <f aca="false">IF($A89="","",IF(OR($N89&lt;&gt;"",$O89="⚠ Çakışma",$P89="⚠ Çakışma",$Q89="⚠ Çakışma"),"⚠ Kontrol Et","✓ Uygun"))</f>
        <v/>
      </c>
    </row>
    <row r="90" customFormat="false" ht="13.5" hidden="false" customHeight="true" outlineLevel="0" collapsed="false">
      <c r="A90" s="28" t="str">
        <f aca="false">IF('1-Turizm Rehberliği'!A87="","","Turizm Rehberliği")</f>
        <v/>
      </c>
      <c r="B90" s="28" t="str">
        <f aca="false">IF($A90="","",IF('1-Turizm Rehberliği'!A87="","",'1-Turizm Rehberliği'!A87))</f>
        <v/>
      </c>
      <c r="C90" s="29" t="str">
        <f aca="false">IF($A90="","",IF('1-Turizm Rehberliği'!B87="","",'1-Turizm Rehberliği'!B87))</f>
        <v/>
      </c>
      <c r="D90" s="28" t="str">
        <f aca="false">IF($A90="","",IF('1-Turizm Rehberliği'!C87="","",'1-Turizm Rehberliği'!C87))</f>
        <v/>
      </c>
      <c r="E90" s="28" t="str">
        <f aca="false">IF($A90="","",$A90&amp;"-"&amp;$D90)</f>
        <v/>
      </c>
      <c r="F90" s="28" t="str">
        <f aca="false">IF($A90="","",IF('1-Turizm Rehberliği'!D87="","",'1-Turizm Rehberliği'!D87))</f>
        <v/>
      </c>
      <c r="G90" s="28" t="str">
        <f aca="false">IF($A90="","",IF('1-Turizm Rehberliği'!E87="","",'1-Turizm Rehberliği'!E87))</f>
        <v/>
      </c>
      <c r="H90" s="28" t="str">
        <f aca="false">IF($A90="","",IF('1-Turizm Rehberliği'!F87="","",'1-Turizm Rehberliği'!F87))</f>
        <v/>
      </c>
      <c r="I90" s="28" t="str">
        <f aca="false">IF($A90="","",IF('1-Turizm Rehberliği'!G87="","",'1-Turizm Rehberliği'!G87))</f>
        <v/>
      </c>
      <c r="J90" s="28" t="str">
        <f aca="false">IF($A90="","",IF('1-Turizm Rehberliği'!H87="","",'1-Turizm Rehberliği'!H87))</f>
        <v/>
      </c>
      <c r="K90" s="28" t="str">
        <f aca="false">IF($A90="","",IF('1-Turizm Rehberliği'!I87="","",'1-Turizm Rehberliği'!I87))</f>
        <v/>
      </c>
      <c r="L90" s="28" t="str">
        <f aca="false">IF($I90="","",MATCH($I90,{"08.00";"09.00";"10.00";"11.00";"12.00";"13.00";"14.00";"15.00";"16.00";"17.00"},0))</f>
        <v/>
      </c>
      <c r="M90" s="28" t="str">
        <f aca="false">IF(OR($L90="",$J90=""),"",$L90+$J90-1)</f>
        <v/>
      </c>
      <c r="N90" s="28" t="str">
        <f aca="false">IF($A90="","",IF(OR($L90="",$M90=""),"",IF($M90&gt;10,"⚠ Saat Taşıyor","")))</f>
        <v/>
      </c>
      <c r="O90" s="28" t="str">
        <f aca="false">IF($A90="","",IF(OR($G90="",$H90="",$L90=""),"",IF(SUMPRODUCT(($A$7:$A$606&lt;&gt;"")*($G$7:$G$606=$G90)*($H$7:$H$606=$H90)*(ROW($A$7:$A$606)&lt;&gt;90)*($L$7:$L$606&lt;=$M90)*($M$7:$M$606&gt;=$L90))&gt;0,"⚠ Çakışma","OK")))</f>
        <v/>
      </c>
      <c r="P90" s="28" t="str">
        <f aca="false">IF($A90="","",IF(OR($K90="",$H90="",$L90=""),"",IF(SUMPRODUCT(($A$7:$A$606&lt;&gt;"")*($K$7:$K$606=$K90)*($H$7:$H$606=$H90)*(ROW($A$7:$A$606)&lt;&gt;90)*($L$7:$L$606&lt;=$M90)*($M$7:$M$606&gt;=$L90))&gt;0,"⚠ Çakışma","OK")))</f>
        <v/>
      </c>
      <c r="Q90" s="28" t="str">
        <f aca="false">IF($A90="","",IF(OR($E90="",$H90="",$L90=""),"",IF(SUMPRODUCT(($A$7:$A$606&lt;&gt;"")*($E$7:$E$606=$E90)*($H$7:$H$606=$H90)*(ROW($A$7:$A$606)&lt;&gt;90)*($L$7:$L$606&lt;=$M90)*($M$7:$M$606&gt;=$L90))&gt;0,"⚠ Çakışma","OK")))</f>
        <v/>
      </c>
      <c r="R90" s="28" t="str">
        <f aca="false">IF($A90="","",IF(OR($N90&lt;&gt;"",$O90="⚠ Çakışma",$P90="⚠ Çakışma",$Q90="⚠ Çakışma"),"⚠ Kontrol Et","✓ Uygun"))</f>
        <v/>
      </c>
    </row>
    <row r="91" customFormat="false" ht="13.5" hidden="false" customHeight="true" outlineLevel="0" collapsed="false">
      <c r="A91" s="28" t="str">
        <f aca="false">IF('1-Turizm Rehberliği'!A88="","","Turizm Rehberliği")</f>
        <v/>
      </c>
      <c r="B91" s="28" t="str">
        <f aca="false">IF($A91="","",IF('1-Turizm Rehberliği'!A88="","",'1-Turizm Rehberliği'!A88))</f>
        <v/>
      </c>
      <c r="C91" s="29" t="str">
        <f aca="false">IF($A91="","",IF('1-Turizm Rehberliği'!B88="","",'1-Turizm Rehberliği'!B88))</f>
        <v/>
      </c>
      <c r="D91" s="28" t="str">
        <f aca="false">IF($A91="","",IF('1-Turizm Rehberliği'!C88="","",'1-Turizm Rehberliği'!C88))</f>
        <v/>
      </c>
      <c r="E91" s="28" t="str">
        <f aca="false">IF($A91="","",$A91&amp;"-"&amp;$D91)</f>
        <v/>
      </c>
      <c r="F91" s="28" t="str">
        <f aca="false">IF($A91="","",IF('1-Turizm Rehberliği'!D88="","",'1-Turizm Rehberliği'!D88))</f>
        <v/>
      </c>
      <c r="G91" s="28" t="str">
        <f aca="false">IF($A91="","",IF('1-Turizm Rehberliği'!E88="","",'1-Turizm Rehberliği'!E88))</f>
        <v/>
      </c>
      <c r="H91" s="28" t="str">
        <f aca="false">IF($A91="","",IF('1-Turizm Rehberliği'!F88="","",'1-Turizm Rehberliği'!F88))</f>
        <v/>
      </c>
      <c r="I91" s="28" t="str">
        <f aca="false">IF($A91="","",IF('1-Turizm Rehberliği'!G88="","",'1-Turizm Rehberliği'!G88))</f>
        <v/>
      </c>
      <c r="J91" s="28" t="str">
        <f aca="false">IF($A91="","",IF('1-Turizm Rehberliği'!H88="","",'1-Turizm Rehberliği'!H88))</f>
        <v/>
      </c>
      <c r="K91" s="28" t="str">
        <f aca="false">IF($A91="","",IF('1-Turizm Rehberliği'!I88="","",'1-Turizm Rehberliği'!I88))</f>
        <v/>
      </c>
      <c r="L91" s="28" t="str">
        <f aca="false">IF($I91="","",MATCH($I91,{"08.00";"09.00";"10.00";"11.00";"12.00";"13.00";"14.00";"15.00";"16.00";"17.00"},0))</f>
        <v/>
      </c>
      <c r="M91" s="28" t="str">
        <f aca="false">IF(OR($L91="",$J91=""),"",$L91+$J91-1)</f>
        <v/>
      </c>
      <c r="N91" s="28" t="str">
        <f aca="false">IF($A91="","",IF(OR($L91="",$M91=""),"",IF($M91&gt;10,"⚠ Saat Taşıyor","")))</f>
        <v/>
      </c>
      <c r="O91" s="28" t="str">
        <f aca="false">IF($A91="","",IF(OR($G91="",$H91="",$L91=""),"",IF(SUMPRODUCT(($A$7:$A$606&lt;&gt;"")*($G$7:$G$606=$G91)*($H$7:$H$606=$H91)*(ROW($A$7:$A$606)&lt;&gt;91)*($L$7:$L$606&lt;=$M91)*($M$7:$M$606&gt;=$L91))&gt;0,"⚠ Çakışma","OK")))</f>
        <v/>
      </c>
      <c r="P91" s="28" t="str">
        <f aca="false">IF($A91="","",IF(OR($K91="",$H91="",$L91=""),"",IF(SUMPRODUCT(($A$7:$A$606&lt;&gt;"")*($K$7:$K$606=$K91)*($H$7:$H$606=$H91)*(ROW($A$7:$A$606)&lt;&gt;91)*($L$7:$L$606&lt;=$M91)*($M$7:$M$606&gt;=$L91))&gt;0,"⚠ Çakışma","OK")))</f>
        <v/>
      </c>
      <c r="Q91" s="28" t="str">
        <f aca="false">IF($A91="","",IF(OR($E91="",$H91="",$L91=""),"",IF(SUMPRODUCT(($A$7:$A$606&lt;&gt;"")*($E$7:$E$606=$E91)*($H$7:$H$606=$H91)*(ROW($A$7:$A$606)&lt;&gt;91)*($L$7:$L$606&lt;=$M91)*($M$7:$M$606&gt;=$L91))&gt;0,"⚠ Çakışma","OK")))</f>
        <v/>
      </c>
      <c r="R91" s="28" t="str">
        <f aca="false">IF($A91="","",IF(OR($N91&lt;&gt;"",$O91="⚠ Çakışma",$P91="⚠ Çakışma",$Q91="⚠ Çakışma"),"⚠ Kontrol Et","✓ Uygun"))</f>
        <v/>
      </c>
    </row>
    <row r="92" customFormat="false" ht="13.5" hidden="false" customHeight="true" outlineLevel="0" collapsed="false">
      <c r="A92" s="28" t="str">
        <f aca="false">IF('1-Turizm Rehberliği'!A89="","","Turizm Rehberliği")</f>
        <v/>
      </c>
      <c r="B92" s="28" t="str">
        <f aca="false">IF($A92="","",IF('1-Turizm Rehberliği'!A89="","",'1-Turizm Rehberliği'!A89))</f>
        <v/>
      </c>
      <c r="C92" s="29" t="str">
        <f aca="false">IF($A92="","",IF('1-Turizm Rehberliği'!B89="","",'1-Turizm Rehberliği'!B89))</f>
        <v/>
      </c>
      <c r="D92" s="28" t="str">
        <f aca="false">IF($A92="","",IF('1-Turizm Rehberliği'!C89="","",'1-Turizm Rehberliği'!C89))</f>
        <v/>
      </c>
      <c r="E92" s="28" t="str">
        <f aca="false">IF($A92="","",$A92&amp;"-"&amp;$D92)</f>
        <v/>
      </c>
      <c r="F92" s="28" t="str">
        <f aca="false">IF($A92="","",IF('1-Turizm Rehberliği'!D89="","",'1-Turizm Rehberliği'!D89))</f>
        <v/>
      </c>
      <c r="G92" s="28" t="str">
        <f aca="false">IF($A92="","",IF('1-Turizm Rehberliği'!E89="","",'1-Turizm Rehberliği'!E89))</f>
        <v/>
      </c>
      <c r="H92" s="28" t="str">
        <f aca="false">IF($A92="","",IF('1-Turizm Rehberliği'!F89="","",'1-Turizm Rehberliği'!F89))</f>
        <v/>
      </c>
      <c r="I92" s="28" t="str">
        <f aca="false">IF($A92="","",IF('1-Turizm Rehberliği'!G89="","",'1-Turizm Rehberliği'!G89))</f>
        <v/>
      </c>
      <c r="J92" s="28" t="str">
        <f aca="false">IF($A92="","",IF('1-Turizm Rehberliği'!H89="","",'1-Turizm Rehberliği'!H89))</f>
        <v/>
      </c>
      <c r="K92" s="28" t="str">
        <f aca="false">IF($A92="","",IF('1-Turizm Rehberliği'!I89="","",'1-Turizm Rehberliği'!I89))</f>
        <v/>
      </c>
      <c r="L92" s="28" t="str">
        <f aca="false">IF($I92="","",MATCH($I92,{"08.00";"09.00";"10.00";"11.00";"12.00";"13.00";"14.00";"15.00";"16.00";"17.00"},0))</f>
        <v/>
      </c>
      <c r="M92" s="28" t="str">
        <f aca="false">IF(OR($L92="",$J92=""),"",$L92+$J92-1)</f>
        <v/>
      </c>
      <c r="N92" s="28" t="str">
        <f aca="false">IF($A92="","",IF(OR($L92="",$M92=""),"",IF($M92&gt;10,"⚠ Saat Taşıyor","")))</f>
        <v/>
      </c>
      <c r="O92" s="28" t="str">
        <f aca="false">IF($A92="","",IF(OR($G92="",$H92="",$L92=""),"",IF(SUMPRODUCT(($A$7:$A$606&lt;&gt;"")*($G$7:$G$606=$G92)*($H$7:$H$606=$H92)*(ROW($A$7:$A$606)&lt;&gt;92)*($L$7:$L$606&lt;=$M92)*($M$7:$M$606&gt;=$L92))&gt;0,"⚠ Çakışma","OK")))</f>
        <v/>
      </c>
      <c r="P92" s="28" t="str">
        <f aca="false">IF($A92="","",IF(OR($K92="",$H92="",$L92=""),"",IF(SUMPRODUCT(($A$7:$A$606&lt;&gt;"")*($K$7:$K$606=$K92)*($H$7:$H$606=$H92)*(ROW($A$7:$A$606)&lt;&gt;92)*($L$7:$L$606&lt;=$M92)*($M$7:$M$606&gt;=$L92))&gt;0,"⚠ Çakışma","OK")))</f>
        <v/>
      </c>
      <c r="Q92" s="28" t="str">
        <f aca="false">IF($A92="","",IF(OR($E92="",$H92="",$L92=""),"",IF(SUMPRODUCT(($A$7:$A$606&lt;&gt;"")*($E$7:$E$606=$E92)*($H$7:$H$606=$H92)*(ROW($A$7:$A$606)&lt;&gt;92)*($L$7:$L$606&lt;=$M92)*($M$7:$M$606&gt;=$L92))&gt;0,"⚠ Çakışma","OK")))</f>
        <v/>
      </c>
      <c r="R92" s="28" t="str">
        <f aca="false">IF($A92="","",IF(OR($N92&lt;&gt;"",$O92="⚠ Çakışma",$P92="⚠ Çakışma",$Q92="⚠ Çakışma"),"⚠ Kontrol Et","✓ Uygun"))</f>
        <v/>
      </c>
    </row>
    <row r="93" customFormat="false" ht="13.5" hidden="false" customHeight="true" outlineLevel="0" collapsed="false">
      <c r="A93" s="28" t="str">
        <f aca="false">IF('1-Turizm Rehberliği'!A90="","","Turizm Rehberliği")</f>
        <v/>
      </c>
      <c r="B93" s="28" t="str">
        <f aca="false">IF($A93="","",IF('1-Turizm Rehberliği'!A90="","",'1-Turizm Rehberliği'!A90))</f>
        <v/>
      </c>
      <c r="C93" s="29" t="str">
        <f aca="false">IF($A93="","",IF('1-Turizm Rehberliği'!B90="","",'1-Turizm Rehberliği'!B90))</f>
        <v/>
      </c>
      <c r="D93" s="28" t="str">
        <f aca="false">IF($A93="","",IF('1-Turizm Rehberliği'!C90="","",'1-Turizm Rehberliği'!C90))</f>
        <v/>
      </c>
      <c r="E93" s="28" t="str">
        <f aca="false">IF($A93="","",$A93&amp;"-"&amp;$D93)</f>
        <v/>
      </c>
      <c r="F93" s="28" t="str">
        <f aca="false">IF($A93="","",IF('1-Turizm Rehberliği'!D90="","",'1-Turizm Rehberliği'!D90))</f>
        <v/>
      </c>
      <c r="G93" s="28" t="str">
        <f aca="false">IF($A93="","",IF('1-Turizm Rehberliği'!E90="","",'1-Turizm Rehberliği'!E90))</f>
        <v/>
      </c>
      <c r="H93" s="28" t="str">
        <f aca="false">IF($A93="","",IF('1-Turizm Rehberliği'!F90="","",'1-Turizm Rehberliği'!F90))</f>
        <v/>
      </c>
      <c r="I93" s="28" t="str">
        <f aca="false">IF($A93="","",IF('1-Turizm Rehberliği'!G90="","",'1-Turizm Rehberliği'!G90))</f>
        <v/>
      </c>
      <c r="J93" s="28" t="str">
        <f aca="false">IF($A93="","",IF('1-Turizm Rehberliği'!H90="","",'1-Turizm Rehberliği'!H90))</f>
        <v/>
      </c>
      <c r="K93" s="28" t="str">
        <f aca="false">IF($A93="","",IF('1-Turizm Rehberliği'!I90="","",'1-Turizm Rehberliği'!I90))</f>
        <v/>
      </c>
      <c r="L93" s="28" t="str">
        <f aca="false">IF($I93="","",MATCH($I93,{"08.00";"09.00";"10.00";"11.00";"12.00";"13.00";"14.00";"15.00";"16.00";"17.00"},0))</f>
        <v/>
      </c>
      <c r="M93" s="28" t="str">
        <f aca="false">IF(OR($L93="",$J93=""),"",$L93+$J93-1)</f>
        <v/>
      </c>
      <c r="N93" s="28" t="str">
        <f aca="false">IF($A93="","",IF(OR($L93="",$M93=""),"",IF($M93&gt;10,"⚠ Saat Taşıyor","")))</f>
        <v/>
      </c>
      <c r="O93" s="28" t="str">
        <f aca="false">IF($A93="","",IF(OR($G93="",$H93="",$L93=""),"",IF(SUMPRODUCT(($A$7:$A$606&lt;&gt;"")*($G$7:$G$606=$G93)*($H$7:$H$606=$H93)*(ROW($A$7:$A$606)&lt;&gt;93)*($L$7:$L$606&lt;=$M93)*($M$7:$M$606&gt;=$L93))&gt;0,"⚠ Çakışma","OK")))</f>
        <v/>
      </c>
      <c r="P93" s="28" t="str">
        <f aca="false">IF($A93="","",IF(OR($K93="",$H93="",$L93=""),"",IF(SUMPRODUCT(($A$7:$A$606&lt;&gt;"")*($K$7:$K$606=$K93)*($H$7:$H$606=$H93)*(ROW($A$7:$A$606)&lt;&gt;93)*($L$7:$L$606&lt;=$M93)*($M$7:$M$606&gt;=$L93))&gt;0,"⚠ Çakışma","OK")))</f>
        <v/>
      </c>
      <c r="Q93" s="28" t="str">
        <f aca="false">IF($A93="","",IF(OR($E93="",$H93="",$L93=""),"",IF(SUMPRODUCT(($A$7:$A$606&lt;&gt;"")*($E$7:$E$606=$E93)*($H$7:$H$606=$H93)*(ROW($A$7:$A$606)&lt;&gt;93)*($L$7:$L$606&lt;=$M93)*($M$7:$M$606&gt;=$L93))&gt;0,"⚠ Çakışma","OK")))</f>
        <v/>
      </c>
      <c r="R93" s="28" t="str">
        <f aca="false">IF($A93="","",IF(OR($N93&lt;&gt;"",$O93="⚠ Çakışma",$P93="⚠ Çakışma",$Q93="⚠ Çakışma"),"⚠ Kontrol Et","✓ Uygun"))</f>
        <v/>
      </c>
    </row>
    <row r="94" customFormat="false" ht="13.5" hidden="false" customHeight="true" outlineLevel="0" collapsed="false">
      <c r="A94" s="28" t="str">
        <f aca="false">IF('1-Turizm Rehberliği'!A91="","","Turizm Rehberliği")</f>
        <v/>
      </c>
      <c r="B94" s="28" t="str">
        <f aca="false">IF($A94="","",IF('1-Turizm Rehberliği'!A91="","",'1-Turizm Rehberliği'!A91))</f>
        <v/>
      </c>
      <c r="C94" s="29" t="str">
        <f aca="false">IF($A94="","",IF('1-Turizm Rehberliği'!B91="","",'1-Turizm Rehberliği'!B91))</f>
        <v/>
      </c>
      <c r="D94" s="28" t="str">
        <f aca="false">IF($A94="","",IF('1-Turizm Rehberliği'!C91="","",'1-Turizm Rehberliği'!C91))</f>
        <v/>
      </c>
      <c r="E94" s="28" t="str">
        <f aca="false">IF($A94="","",$A94&amp;"-"&amp;$D94)</f>
        <v/>
      </c>
      <c r="F94" s="28" t="str">
        <f aca="false">IF($A94="","",IF('1-Turizm Rehberliği'!D91="","",'1-Turizm Rehberliği'!D91))</f>
        <v/>
      </c>
      <c r="G94" s="28" t="str">
        <f aca="false">IF($A94="","",IF('1-Turizm Rehberliği'!E91="","",'1-Turizm Rehberliği'!E91))</f>
        <v/>
      </c>
      <c r="H94" s="28" t="str">
        <f aca="false">IF($A94="","",IF('1-Turizm Rehberliği'!F91="","",'1-Turizm Rehberliği'!F91))</f>
        <v/>
      </c>
      <c r="I94" s="28" t="str">
        <f aca="false">IF($A94="","",IF('1-Turizm Rehberliği'!G91="","",'1-Turizm Rehberliği'!G91))</f>
        <v/>
      </c>
      <c r="J94" s="28" t="str">
        <f aca="false">IF($A94="","",IF('1-Turizm Rehberliği'!H91="","",'1-Turizm Rehberliği'!H91))</f>
        <v/>
      </c>
      <c r="K94" s="28" t="str">
        <f aca="false">IF($A94="","",IF('1-Turizm Rehberliği'!I91="","",'1-Turizm Rehberliği'!I91))</f>
        <v/>
      </c>
      <c r="L94" s="28" t="str">
        <f aca="false">IF($I94="","",MATCH($I94,{"08.00";"09.00";"10.00";"11.00";"12.00";"13.00";"14.00";"15.00";"16.00";"17.00"},0))</f>
        <v/>
      </c>
      <c r="M94" s="28" t="str">
        <f aca="false">IF(OR($L94="",$J94=""),"",$L94+$J94-1)</f>
        <v/>
      </c>
      <c r="N94" s="28" t="str">
        <f aca="false">IF($A94="","",IF(OR($L94="",$M94=""),"",IF($M94&gt;10,"⚠ Saat Taşıyor","")))</f>
        <v/>
      </c>
      <c r="O94" s="28" t="str">
        <f aca="false">IF($A94="","",IF(OR($G94="",$H94="",$L94=""),"",IF(SUMPRODUCT(($A$7:$A$606&lt;&gt;"")*($G$7:$G$606=$G94)*($H$7:$H$606=$H94)*(ROW($A$7:$A$606)&lt;&gt;94)*($L$7:$L$606&lt;=$M94)*($M$7:$M$606&gt;=$L94))&gt;0,"⚠ Çakışma","OK")))</f>
        <v/>
      </c>
      <c r="P94" s="28" t="str">
        <f aca="false">IF($A94="","",IF(OR($K94="",$H94="",$L94=""),"",IF(SUMPRODUCT(($A$7:$A$606&lt;&gt;"")*($K$7:$K$606=$K94)*($H$7:$H$606=$H94)*(ROW($A$7:$A$606)&lt;&gt;94)*($L$7:$L$606&lt;=$M94)*($M$7:$M$606&gt;=$L94))&gt;0,"⚠ Çakışma","OK")))</f>
        <v/>
      </c>
      <c r="Q94" s="28" t="str">
        <f aca="false">IF($A94="","",IF(OR($E94="",$H94="",$L94=""),"",IF(SUMPRODUCT(($A$7:$A$606&lt;&gt;"")*($E$7:$E$606=$E94)*($H$7:$H$606=$H94)*(ROW($A$7:$A$606)&lt;&gt;94)*($L$7:$L$606&lt;=$M94)*($M$7:$M$606&gt;=$L94))&gt;0,"⚠ Çakışma","OK")))</f>
        <v/>
      </c>
      <c r="R94" s="28" t="str">
        <f aca="false">IF($A94="","",IF(OR($N94&lt;&gt;"",$O94="⚠ Çakışma",$P94="⚠ Çakışma",$Q94="⚠ Çakışma"),"⚠ Kontrol Et","✓ Uygun"))</f>
        <v/>
      </c>
    </row>
    <row r="95" customFormat="false" ht="13.5" hidden="false" customHeight="true" outlineLevel="0" collapsed="false">
      <c r="A95" s="28" t="str">
        <f aca="false">IF('1-Turizm Rehberliği'!A92="","","Turizm Rehberliği")</f>
        <v/>
      </c>
      <c r="B95" s="28" t="str">
        <f aca="false">IF($A95="","",IF('1-Turizm Rehberliği'!A92="","",'1-Turizm Rehberliği'!A92))</f>
        <v/>
      </c>
      <c r="C95" s="29" t="str">
        <f aca="false">IF($A95="","",IF('1-Turizm Rehberliği'!B92="","",'1-Turizm Rehberliği'!B92))</f>
        <v/>
      </c>
      <c r="D95" s="28" t="str">
        <f aca="false">IF($A95="","",IF('1-Turizm Rehberliği'!C92="","",'1-Turizm Rehberliği'!C92))</f>
        <v/>
      </c>
      <c r="E95" s="28" t="str">
        <f aca="false">IF($A95="","",$A95&amp;"-"&amp;$D95)</f>
        <v/>
      </c>
      <c r="F95" s="28" t="str">
        <f aca="false">IF($A95="","",IF('1-Turizm Rehberliği'!D92="","",'1-Turizm Rehberliği'!D92))</f>
        <v/>
      </c>
      <c r="G95" s="28" t="str">
        <f aca="false">IF($A95="","",IF('1-Turizm Rehberliği'!E92="","",'1-Turizm Rehberliği'!E92))</f>
        <v/>
      </c>
      <c r="H95" s="28" t="str">
        <f aca="false">IF($A95="","",IF('1-Turizm Rehberliği'!F92="","",'1-Turizm Rehberliği'!F92))</f>
        <v/>
      </c>
      <c r="I95" s="28" t="str">
        <f aca="false">IF($A95="","",IF('1-Turizm Rehberliği'!G92="","",'1-Turizm Rehberliği'!G92))</f>
        <v/>
      </c>
      <c r="J95" s="28" t="str">
        <f aca="false">IF($A95="","",IF('1-Turizm Rehberliği'!H92="","",'1-Turizm Rehberliği'!H92))</f>
        <v/>
      </c>
      <c r="K95" s="28" t="str">
        <f aca="false">IF($A95="","",IF('1-Turizm Rehberliği'!I92="","",'1-Turizm Rehberliği'!I92))</f>
        <v/>
      </c>
      <c r="L95" s="28" t="str">
        <f aca="false">IF($I95="","",MATCH($I95,{"08.00";"09.00";"10.00";"11.00";"12.00";"13.00";"14.00";"15.00";"16.00";"17.00"},0))</f>
        <v/>
      </c>
      <c r="M95" s="28" t="str">
        <f aca="false">IF(OR($L95="",$J95=""),"",$L95+$J95-1)</f>
        <v/>
      </c>
      <c r="N95" s="28" t="str">
        <f aca="false">IF($A95="","",IF(OR($L95="",$M95=""),"",IF($M95&gt;10,"⚠ Saat Taşıyor","")))</f>
        <v/>
      </c>
      <c r="O95" s="28" t="str">
        <f aca="false">IF($A95="","",IF(OR($G95="",$H95="",$L95=""),"",IF(SUMPRODUCT(($A$7:$A$606&lt;&gt;"")*($G$7:$G$606=$G95)*($H$7:$H$606=$H95)*(ROW($A$7:$A$606)&lt;&gt;95)*($L$7:$L$606&lt;=$M95)*($M$7:$M$606&gt;=$L95))&gt;0,"⚠ Çakışma","OK")))</f>
        <v/>
      </c>
      <c r="P95" s="28" t="str">
        <f aca="false">IF($A95="","",IF(OR($K95="",$H95="",$L95=""),"",IF(SUMPRODUCT(($A$7:$A$606&lt;&gt;"")*($K$7:$K$606=$K95)*($H$7:$H$606=$H95)*(ROW($A$7:$A$606)&lt;&gt;95)*($L$7:$L$606&lt;=$M95)*($M$7:$M$606&gt;=$L95))&gt;0,"⚠ Çakışma","OK")))</f>
        <v/>
      </c>
      <c r="Q95" s="28" t="str">
        <f aca="false">IF($A95="","",IF(OR($E95="",$H95="",$L95=""),"",IF(SUMPRODUCT(($A$7:$A$606&lt;&gt;"")*($E$7:$E$606=$E95)*($H$7:$H$606=$H95)*(ROW($A$7:$A$606)&lt;&gt;95)*($L$7:$L$606&lt;=$M95)*($M$7:$M$606&gt;=$L95))&gt;0,"⚠ Çakışma","OK")))</f>
        <v/>
      </c>
      <c r="R95" s="28" t="str">
        <f aca="false">IF($A95="","",IF(OR($N95&lt;&gt;"",$O95="⚠ Çakışma",$P95="⚠ Çakışma",$Q95="⚠ Çakışma"),"⚠ Kontrol Et","✓ Uygun"))</f>
        <v/>
      </c>
    </row>
    <row r="96" customFormat="false" ht="13.5" hidden="false" customHeight="true" outlineLevel="0" collapsed="false">
      <c r="A96" s="28" t="str">
        <f aca="false">IF('1-Turizm Rehberliği'!A93="","","Turizm Rehberliği")</f>
        <v/>
      </c>
      <c r="B96" s="28" t="str">
        <f aca="false">IF($A96="","",IF('1-Turizm Rehberliği'!A93="","",'1-Turizm Rehberliği'!A93))</f>
        <v/>
      </c>
      <c r="C96" s="29" t="str">
        <f aca="false">IF($A96="","",IF('1-Turizm Rehberliği'!B93="","",'1-Turizm Rehberliği'!B93))</f>
        <v/>
      </c>
      <c r="D96" s="28" t="str">
        <f aca="false">IF($A96="","",IF('1-Turizm Rehberliği'!C93="","",'1-Turizm Rehberliği'!C93))</f>
        <v/>
      </c>
      <c r="E96" s="28" t="str">
        <f aca="false">IF($A96="","",$A96&amp;"-"&amp;$D96)</f>
        <v/>
      </c>
      <c r="F96" s="28" t="str">
        <f aca="false">IF($A96="","",IF('1-Turizm Rehberliği'!D93="","",'1-Turizm Rehberliği'!D93))</f>
        <v/>
      </c>
      <c r="G96" s="28" t="str">
        <f aca="false">IF($A96="","",IF('1-Turizm Rehberliği'!E93="","",'1-Turizm Rehberliği'!E93))</f>
        <v/>
      </c>
      <c r="H96" s="28" t="str">
        <f aca="false">IF($A96="","",IF('1-Turizm Rehberliği'!F93="","",'1-Turizm Rehberliği'!F93))</f>
        <v/>
      </c>
      <c r="I96" s="28" t="str">
        <f aca="false">IF($A96="","",IF('1-Turizm Rehberliği'!G93="","",'1-Turizm Rehberliği'!G93))</f>
        <v/>
      </c>
      <c r="J96" s="28" t="str">
        <f aca="false">IF($A96="","",IF('1-Turizm Rehberliği'!H93="","",'1-Turizm Rehberliği'!H93))</f>
        <v/>
      </c>
      <c r="K96" s="28" t="str">
        <f aca="false">IF($A96="","",IF('1-Turizm Rehberliği'!I93="","",'1-Turizm Rehberliği'!I93))</f>
        <v/>
      </c>
      <c r="L96" s="28" t="str">
        <f aca="false">IF($I96="","",MATCH($I96,{"08.00";"09.00";"10.00";"11.00";"12.00";"13.00";"14.00";"15.00";"16.00";"17.00"},0))</f>
        <v/>
      </c>
      <c r="M96" s="28" t="str">
        <f aca="false">IF(OR($L96="",$J96=""),"",$L96+$J96-1)</f>
        <v/>
      </c>
      <c r="N96" s="28" t="str">
        <f aca="false">IF($A96="","",IF(OR($L96="",$M96=""),"",IF($M96&gt;10,"⚠ Saat Taşıyor","")))</f>
        <v/>
      </c>
      <c r="O96" s="28" t="str">
        <f aca="false">IF($A96="","",IF(OR($G96="",$H96="",$L96=""),"",IF(SUMPRODUCT(($A$7:$A$606&lt;&gt;"")*($G$7:$G$606=$G96)*($H$7:$H$606=$H96)*(ROW($A$7:$A$606)&lt;&gt;96)*($L$7:$L$606&lt;=$M96)*($M$7:$M$606&gt;=$L96))&gt;0,"⚠ Çakışma","OK")))</f>
        <v/>
      </c>
      <c r="P96" s="28" t="str">
        <f aca="false">IF($A96="","",IF(OR($K96="",$H96="",$L96=""),"",IF(SUMPRODUCT(($A$7:$A$606&lt;&gt;"")*($K$7:$K$606=$K96)*($H$7:$H$606=$H96)*(ROW($A$7:$A$606)&lt;&gt;96)*($L$7:$L$606&lt;=$M96)*($M$7:$M$606&gt;=$L96))&gt;0,"⚠ Çakışma","OK")))</f>
        <v/>
      </c>
      <c r="Q96" s="28" t="str">
        <f aca="false">IF($A96="","",IF(OR($E96="",$H96="",$L96=""),"",IF(SUMPRODUCT(($A$7:$A$606&lt;&gt;"")*($E$7:$E$606=$E96)*($H$7:$H$606=$H96)*(ROW($A$7:$A$606)&lt;&gt;96)*($L$7:$L$606&lt;=$M96)*($M$7:$M$606&gt;=$L96))&gt;0,"⚠ Çakışma","OK")))</f>
        <v/>
      </c>
      <c r="R96" s="28" t="str">
        <f aca="false">IF($A96="","",IF(OR($N96&lt;&gt;"",$O96="⚠ Çakışma",$P96="⚠ Çakışma",$Q96="⚠ Çakışma"),"⚠ Kontrol Et","✓ Uygun"))</f>
        <v/>
      </c>
    </row>
    <row r="97" customFormat="false" ht="13.5" hidden="false" customHeight="true" outlineLevel="0" collapsed="false">
      <c r="A97" s="28" t="str">
        <f aca="false">IF('1-Turizm Rehberliği'!A94="","","Turizm Rehberliği")</f>
        <v/>
      </c>
      <c r="B97" s="28" t="str">
        <f aca="false">IF($A97="","",IF('1-Turizm Rehberliği'!A94="","",'1-Turizm Rehberliği'!A94))</f>
        <v/>
      </c>
      <c r="C97" s="29" t="str">
        <f aca="false">IF($A97="","",IF('1-Turizm Rehberliği'!B94="","",'1-Turizm Rehberliği'!B94))</f>
        <v/>
      </c>
      <c r="D97" s="28" t="str">
        <f aca="false">IF($A97="","",IF('1-Turizm Rehberliği'!C94="","",'1-Turizm Rehberliği'!C94))</f>
        <v/>
      </c>
      <c r="E97" s="28" t="str">
        <f aca="false">IF($A97="","",$A97&amp;"-"&amp;$D97)</f>
        <v/>
      </c>
      <c r="F97" s="28" t="str">
        <f aca="false">IF($A97="","",IF('1-Turizm Rehberliği'!D94="","",'1-Turizm Rehberliği'!D94))</f>
        <v/>
      </c>
      <c r="G97" s="28" t="str">
        <f aca="false">IF($A97="","",IF('1-Turizm Rehberliği'!E94="","",'1-Turizm Rehberliği'!E94))</f>
        <v/>
      </c>
      <c r="H97" s="28" t="str">
        <f aca="false">IF($A97="","",IF('1-Turizm Rehberliği'!F94="","",'1-Turizm Rehberliği'!F94))</f>
        <v/>
      </c>
      <c r="I97" s="28" t="str">
        <f aca="false">IF($A97="","",IF('1-Turizm Rehberliği'!G94="","",'1-Turizm Rehberliği'!G94))</f>
        <v/>
      </c>
      <c r="J97" s="28" t="str">
        <f aca="false">IF($A97="","",IF('1-Turizm Rehberliği'!H94="","",'1-Turizm Rehberliği'!H94))</f>
        <v/>
      </c>
      <c r="K97" s="28" t="str">
        <f aca="false">IF($A97="","",IF('1-Turizm Rehberliği'!I94="","",'1-Turizm Rehberliği'!I94))</f>
        <v/>
      </c>
      <c r="L97" s="28" t="str">
        <f aca="false">IF($I97="","",MATCH($I97,{"08.00";"09.00";"10.00";"11.00";"12.00";"13.00";"14.00";"15.00";"16.00";"17.00"},0))</f>
        <v/>
      </c>
      <c r="M97" s="28" t="str">
        <f aca="false">IF(OR($L97="",$J97=""),"",$L97+$J97-1)</f>
        <v/>
      </c>
      <c r="N97" s="28" t="str">
        <f aca="false">IF($A97="","",IF(OR($L97="",$M97=""),"",IF($M97&gt;10,"⚠ Saat Taşıyor","")))</f>
        <v/>
      </c>
      <c r="O97" s="28" t="str">
        <f aca="false">IF($A97="","",IF(OR($G97="",$H97="",$L97=""),"",IF(SUMPRODUCT(($A$7:$A$606&lt;&gt;"")*($G$7:$G$606=$G97)*($H$7:$H$606=$H97)*(ROW($A$7:$A$606)&lt;&gt;97)*($L$7:$L$606&lt;=$M97)*($M$7:$M$606&gt;=$L97))&gt;0,"⚠ Çakışma","OK")))</f>
        <v/>
      </c>
      <c r="P97" s="28" t="str">
        <f aca="false">IF($A97="","",IF(OR($K97="",$H97="",$L97=""),"",IF(SUMPRODUCT(($A$7:$A$606&lt;&gt;"")*($K$7:$K$606=$K97)*($H$7:$H$606=$H97)*(ROW($A$7:$A$606)&lt;&gt;97)*($L$7:$L$606&lt;=$M97)*($M$7:$M$606&gt;=$L97))&gt;0,"⚠ Çakışma","OK")))</f>
        <v/>
      </c>
      <c r="Q97" s="28" t="str">
        <f aca="false">IF($A97="","",IF(OR($E97="",$H97="",$L97=""),"",IF(SUMPRODUCT(($A$7:$A$606&lt;&gt;"")*($E$7:$E$606=$E97)*($H$7:$H$606=$H97)*(ROW($A$7:$A$606)&lt;&gt;97)*($L$7:$L$606&lt;=$M97)*($M$7:$M$606&gt;=$L97))&gt;0,"⚠ Çakışma","OK")))</f>
        <v/>
      </c>
      <c r="R97" s="28" t="str">
        <f aca="false">IF($A97="","",IF(OR($N97&lt;&gt;"",$O97="⚠ Çakışma",$P97="⚠ Çakışma",$Q97="⚠ Çakışma"),"⚠ Kontrol Et","✓ Uygun"))</f>
        <v/>
      </c>
    </row>
    <row r="98" customFormat="false" ht="13.5" hidden="false" customHeight="true" outlineLevel="0" collapsed="false">
      <c r="A98" s="28" t="str">
        <f aca="false">IF('1-Turizm Rehberliği'!A95="","","Turizm Rehberliği")</f>
        <v/>
      </c>
      <c r="B98" s="28" t="str">
        <f aca="false">IF($A98="","",IF('1-Turizm Rehberliği'!A95="","",'1-Turizm Rehberliği'!A95))</f>
        <v/>
      </c>
      <c r="C98" s="29" t="str">
        <f aca="false">IF($A98="","",IF('1-Turizm Rehberliği'!B95="","",'1-Turizm Rehberliği'!B95))</f>
        <v/>
      </c>
      <c r="D98" s="28" t="str">
        <f aca="false">IF($A98="","",IF('1-Turizm Rehberliği'!C95="","",'1-Turizm Rehberliği'!C95))</f>
        <v/>
      </c>
      <c r="E98" s="28" t="str">
        <f aca="false">IF($A98="","",$A98&amp;"-"&amp;$D98)</f>
        <v/>
      </c>
      <c r="F98" s="28" t="str">
        <f aca="false">IF($A98="","",IF('1-Turizm Rehberliği'!D95="","",'1-Turizm Rehberliği'!D95))</f>
        <v/>
      </c>
      <c r="G98" s="28" t="str">
        <f aca="false">IF($A98="","",IF('1-Turizm Rehberliği'!E95="","",'1-Turizm Rehberliği'!E95))</f>
        <v/>
      </c>
      <c r="H98" s="28" t="str">
        <f aca="false">IF($A98="","",IF('1-Turizm Rehberliği'!F95="","",'1-Turizm Rehberliği'!F95))</f>
        <v/>
      </c>
      <c r="I98" s="28" t="str">
        <f aca="false">IF($A98="","",IF('1-Turizm Rehberliği'!G95="","",'1-Turizm Rehberliği'!G95))</f>
        <v/>
      </c>
      <c r="J98" s="28" t="str">
        <f aca="false">IF($A98="","",IF('1-Turizm Rehberliği'!H95="","",'1-Turizm Rehberliği'!H95))</f>
        <v/>
      </c>
      <c r="K98" s="28" t="str">
        <f aca="false">IF($A98="","",IF('1-Turizm Rehberliği'!I95="","",'1-Turizm Rehberliği'!I95))</f>
        <v/>
      </c>
      <c r="L98" s="28" t="str">
        <f aca="false">IF($I98="","",MATCH($I98,{"08.00";"09.00";"10.00";"11.00";"12.00";"13.00";"14.00";"15.00";"16.00";"17.00"},0))</f>
        <v/>
      </c>
      <c r="M98" s="28" t="str">
        <f aca="false">IF(OR($L98="",$J98=""),"",$L98+$J98-1)</f>
        <v/>
      </c>
      <c r="N98" s="28" t="str">
        <f aca="false">IF($A98="","",IF(OR($L98="",$M98=""),"",IF($M98&gt;10,"⚠ Saat Taşıyor","")))</f>
        <v/>
      </c>
      <c r="O98" s="28" t="str">
        <f aca="false">IF($A98="","",IF(OR($G98="",$H98="",$L98=""),"",IF(SUMPRODUCT(($A$7:$A$606&lt;&gt;"")*($G$7:$G$606=$G98)*($H$7:$H$606=$H98)*(ROW($A$7:$A$606)&lt;&gt;98)*($L$7:$L$606&lt;=$M98)*($M$7:$M$606&gt;=$L98))&gt;0,"⚠ Çakışma","OK")))</f>
        <v/>
      </c>
      <c r="P98" s="28" t="str">
        <f aca="false">IF($A98="","",IF(OR($K98="",$H98="",$L98=""),"",IF(SUMPRODUCT(($A$7:$A$606&lt;&gt;"")*($K$7:$K$606=$K98)*($H$7:$H$606=$H98)*(ROW($A$7:$A$606)&lt;&gt;98)*($L$7:$L$606&lt;=$M98)*($M$7:$M$606&gt;=$L98))&gt;0,"⚠ Çakışma","OK")))</f>
        <v/>
      </c>
      <c r="Q98" s="28" t="str">
        <f aca="false">IF($A98="","",IF(OR($E98="",$H98="",$L98=""),"",IF(SUMPRODUCT(($A$7:$A$606&lt;&gt;"")*($E$7:$E$606=$E98)*($H$7:$H$606=$H98)*(ROW($A$7:$A$606)&lt;&gt;98)*($L$7:$L$606&lt;=$M98)*($M$7:$M$606&gt;=$L98))&gt;0,"⚠ Çakışma","OK")))</f>
        <v/>
      </c>
      <c r="R98" s="28" t="str">
        <f aca="false">IF($A98="","",IF(OR($N98&lt;&gt;"",$O98="⚠ Çakışma",$P98="⚠ Çakışma",$Q98="⚠ Çakışma"),"⚠ Kontrol Et","✓ Uygun"))</f>
        <v/>
      </c>
    </row>
    <row r="99" customFormat="false" ht="13.5" hidden="false" customHeight="true" outlineLevel="0" collapsed="false">
      <c r="A99" s="28" t="str">
        <f aca="false">IF('1-Turizm Rehberliği'!A96="","","Turizm Rehberliği")</f>
        <v/>
      </c>
      <c r="B99" s="28" t="str">
        <f aca="false">IF($A99="","",IF('1-Turizm Rehberliği'!A96="","",'1-Turizm Rehberliği'!A96))</f>
        <v/>
      </c>
      <c r="C99" s="29" t="str">
        <f aca="false">IF($A99="","",IF('1-Turizm Rehberliği'!B96="","",'1-Turizm Rehberliği'!B96))</f>
        <v/>
      </c>
      <c r="D99" s="28" t="str">
        <f aca="false">IF($A99="","",IF('1-Turizm Rehberliği'!C96="","",'1-Turizm Rehberliği'!C96))</f>
        <v/>
      </c>
      <c r="E99" s="28" t="str">
        <f aca="false">IF($A99="","",$A99&amp;"-"&amp;$D99)</f>
        <v/>
      </c>
      <c r="F99" s="28" t="str">
        <f aca="false">IF($A99="","",IF('1-Turizm Rehberliği'!D96="","",'1-Turizm Rehberliği'!D96))</f>
        <v/>
      </c>
      <c r="G99" s="28" t="str">
        <f aca="false">IF($A99="","",IF('1-Turizm Rehberliği'!E96="","",'1-Turizm Rehberliği'!E96))</f>
        <v/>
      </c>
      <c r="H99" s="28" t="str">
        <f aca="false">IF($A99="","",IF('1-Turizm Rehberliği'!F96="","",'1-Turizm Rehberliği'!F96))</f>
        <v/>
      </c>
      <c r="I99" s="28" t="str">
        <f aca="false">IF($A99="","",IF('1-Turizm Rehberliği'!G96="","",'1-Turizm Rehberliği'!G96))</f>
        <v/>
      </c>
      <c r="J99" s="28" t="str">
        <f aca="false">IF($A99="","",IF('1-Turizm Rehberliği'!H96="","",'1-Turizm Rehberliği'!H96))</f>
        <v/>
      </c>
      <c r="K99" s="28" t="str">
        <f aca="false">IF($A99="","",IF('1-Turizm Rehberliği'!I96="","",'1-Turizm Rehberliği'!I96))</f>
        <v/>
      </c>
      <c r="L99" s="28" t="str">
        <f aca="false">IF($I99="","",MATCH($I99,{"08.00";"09.00";"10.00";"11.00";"12.00";"13.00";"14.00";"15.00";"16.00";"17.00"},0))</f>
        <v/>
      </c>
      <c r="M99" s="28" t="str">
        <f aca="false">IF(OR($L99="",$J99=""),"",$L99+$J99-1)</f>
        <v/>
      </c>
      <c r="N99" s="28" t="str">
        <f aca="false">IF($A99="","",IF(OR($L99="",$M99=""),"",IF($M99&gt;10,"⚠ Saat Taşıyor","")))</f>
        <v/>
      </c>
      <c r="O99" s="28" t="str">
        <f aca="false">IF($A99="","",IF(OR($G99="",$H99="",$L99=""),"",IF(SUMPRODUCT(($A$7:$A$606&lt;&gt;"")*($G$7:$G$606=$G99)*($H$7:$H$606=$H99)*(ROW($A$7:$A$606)&lt;&gt;99)*($L$7:$L$606&lt;=$M99)*($M$7:$M$606&gt;=$L99))&gt;0,"⚠ Çakışma","OK")))</f>
        <v/>
      </c>
      <c r="P99" s="28" t="str">
        <f aca="false">IF($A99="","",IF(OR($K99="",$H99="",$L99=""),"",IF(SUMPRODUCT(($A$7:$A$606&lt;&gt;"")*($K$7:$K$606=$K99)*($H$7:$H$606=$H99)*(ROW($A$7:$A$606)&lt;&gt;99)*($L$7:$L$606&lt;=$M99)*($M$7:$M$606&gt;=$L99))&gt;0,"⚠ Çakışma","OK")))</f>
        <v/>
      </c>
      <c r="Q99" s="28" t="str">
        <f aca="false">IF($A99="","",IF(OR($E99="",$H99="",$L99=""),"",IF(SUMPRODUCT(($A$7:$A$606&lt;&gt;"")*($E$7:$E$606=$E99)*($H$7:$H$606=$H99)*(ROW($A$7:$A$606)&lt;&gt;99)*($L$7:$L$606&lt;=$M99)*($M$7:$M$606&gt;=$L99))&gt;0,"⚠ Çakışma","OK")))</f>
        <v/>
      </c>
      <c r="R99" s="28" t="str">
        <f aca="false">IF($A99="","",IF(OR($N99&lt;&gt;"",$O99="⚠ Çakışma",$P99="⚠ Çakışma",$Q99="⚠ Çakışma"),"⚠ Kontrol Et","✓ Uygun"))</f>
        <v/>
      </c>
    </row>
    <row r="100" customFormat="false" ht="13.5" hidden="false" customHeight="true" outlineLevel="0" collapsed="false">
      <c r="A100" s="28" t="str">
        <f aca="false">IF('1-Turizm Rehberliği'!A97="","","Turizm Rehberliği")</f>
        <v/>
      </c>
      <c r="B100" s="28" t="str">
        <f aca="false">IF($A100="","",IF('1-Turizm Rehberliği'!A97="","",'1-Turizm Rehberliği'!A97))</f>
        <v/>
      </c>
      <c r="C100" s="29" t="str">
        <f aca="false">IF($A100="","",IF('1-Turizm Rehberliği'!B97="","",'1-Turizm Rehberliği'!B97))</f>
        <v/>
      </c>
      <c r="D100" s="28" t="str">
        <f aca="false">IF($A100="","",IF('1-Turizm Rehberliği'!C97="","",'1-Turizm Rehberliği'!C97))</f>
        <v/>
      </c>
      <c r="E100" s="28" t="str">
        <f aca="false">IF($A100="","",$A100&amp;"-"&amp;$D100)</f>
        <v/>
      </c>
      <c r="F100" s="28" t="str">
        <f aca="false">IF($A100="","",IF('1-Turizm Rehberliği'!D97="","",'1-Turizm Rehberliği'!D97))</f>
        <v/>
      </c>
      <c r="G100" s="28" t="str">
        <f aca="false">IF($A100="","",IF('1-Turizm Rehberliği'!E97="","",'1-Turizm Rehberliği'!E97))</f>
        <v/>
      </c>
      <c r="H100" s="28" t="str">
        <f aca="false">IF($A100="","",IF('1-Turizm Rehberliği'!F97="","",'1-Turizm Rehberliği'!F97))</f>
        <v/>
      </c>
      <c r="I100" s="28" t="str">
        <f aca="false">IF($A100="","",IF('1-Turizm Rehberliği'!G97="","",'1-Turizm Rehberliği'!G97))</f>
        <v/>
      </c>
      <c r="J100" s="28" t="str">
        <f aca="false">IF($A100="","",IF('1-Turizm Rehberliği'!H97="","",'1-Turizm Rehberliği'!H97))</f>
        <v/>
      </c>
      <c r="K100" s="28" t="str">
        <f aca="false">IF($A100="","",IF('1-Turizm Rehberliği'!I97="","",'1-Turizm Rehberliği'!I97))</f>
        <v/>
      </c>
      <c r="L100" s="28" t="str">
        <f aca="false">IF($I100="","",MATCH($I100,{"08.00";"09.00";"10.00";"11.00";"12.00";"13.00";"14.00";"15.00";"16.00";"17.00"},0))</f>
        <v/>
      </c>
      <c r="M100" s="28" t="str">
        <f aca="false">IF(OR($L100="",$J100=""),"",$L100+$J100-1)</f>
        <v/>
      </c>
      <c r="N100" s="28" t="str">
        <f aca="false">IF($A100="","",IF(OR($L100="",$M100=""),"",IF($M100&gt;10,"⚠ Saat Taşıyor","")))</f>
        <v/>
      </c>
      <c r="O100" s="28" t="str">
        <f aca="false">IF($A100="","",IF(OR($G100="",$H100="",$L100=""),"",IF(SUMPRODUCT(($A$7:$A$606&lt;&gt;"")*($G$7:$G$606=$G100)*($H$7:$H$606=$H100)*(ROW($A$7:$A$606)&lt;&gt;100)*($L$7:$L$606&lt;=$M100)*($M$7:$M$606&gt;=$L100))&gt;0,"⚠ Çakışma","OK")))</f>
        <v/>
      </c>
      <c r="P100" s="28" t="str">
        <f aca="false">IF($A100="","",IF(OR($K100="",$H100="",$L100=""),"",IF(SUMPRODUCT(($A$7:$A$606&lt;&gt;"")*($K$7:$K$606=$K100)*($H$7:$H$606=$H100)*(ROW($A$7:$A$606)&lt;&gt;100)*($L$7:$L$606&lt;=$M100)*($M$7:$M$606&gt;=$L100))&gt;0,"⚠ Çakışma","OK")))</f>
        <v/>
      </c>
      <c r="Q100" s="28" t="str">
        <f aca="false">IF($A100="","",IF(OR($E100="",$H100="",$L100=""),"",IF(SUMPRODUCT(($A$7:$A$606&lt;&gt;"")*($E$7:$E$606=$E100)*($H$7:$H$606=$H100)*(ROW($A$7:$A$606)&lt;&gt;100)*($L$7:$L$606&lt;=$M100)*($M$7:$M$606&gt;=$L100))&gt;0,"⚠ Çakışma","OK")))</f>
        <v/>
      </c>
      <c r="R100" s="28" t="str">
        <f aca="false">IF($A100="","",IF(OR($N100&lt;&gt;"",$O100="⚠ Çakışma",$P100="⚠ Çakışma",$Q100="⚠ Çakışma"),"⚠ Kontrol Et","✓ Uygun"))</f>
        <v/>
      </c>
    </row>
    <row r="101" customFormat="false" ht="13.5" hidden="false" customHeight="true" outlineLevel="0" collapsed="false">
      <c r="A101" s="28" t="str">
        <f aca="false">IF('1-Turizm Rehberliği'!A98="","","Turizm Rehberliği")</f>
        <v/>
      </c>
      <c r="B101" s="28" t="str">
        <f aca="false">IF($A101="","",IF('1-Turizm Rehberliği'!A98="","",'1-Turizm Rehberliği'!A98))</f>
        <v/>
      </c>
      <c r="C101" s="29" t="str">
        <f aca="false">IF($A101="","",IF('1-Turizm Rehberliği'!B98="","",'1-Turizm Rehberliği'!B98))</f>
        <v/>
      </c>
      <c r="D101" s="28" t="str">
        <f aca="false">IF($A101="","",IF('1-Turizm Rehberliği'!C98="","",'1-Turizm Rehberliği'!C98))</f>
        <v/>
      </c>
      <c r="E101" s="28" t="str">
        <f aca="false">IF($A101="","",$A101&amp;"-"&amp;$D101)</f>
        <v/>
      </c>
      <c r="F101" s="28" t="str">
        <f aca="false">IF($A101="","",IF('1-Turizm Rehberliği'!D98="","",'1-Turizm Rehberliği'!D98))</f>
        <v/>
      </c>
      <c r="G101" s="28" t="str">
        <f aca="false">IF($A101="","",IF('1-Turizm Rehberliği'!E98="","",'1-Turizm Rehberliği'!E98))</f>
        <v/>
      </c>
      <c r="H101" s="28" t="str">
        <f aca="false">IF($A101="","",IF('1-Turizm Rehberliği'!F98="","",'1-Turizm Rehberliği'!F98))</f>
        <v/>
      </c>
      <c r="I101" s="28" t="str">
        <f aca="false">IF($A101="","",IF('1-Turizm Rehberliği'!G98="","",'1-Turizm Rehberliği'!G98))</f>
        <v/>
      </c>
      <c r="J101" s="28" t="str">
        <f aca="false">IF($A101="","",IF('1-Turizm Rehberliği'!H98="","",'1-Turizm Rehberliği'!H98))</f>
        <v/>
      </c>
      <c r="K101" s="28" t="str">
        <f aca="false">IF($A101="","",IF('1-Turizm Rehberliği'!I98="","",'1-Turizm Rehberliği'!I98))</f>
        <v/>
      </c>
      <c r="L101" s="28" t="str">
        <f aca="false">IF($I101="","",MATCH($I101,{"08.00";"09.00";"10.00";"11.00";"12.00";"13.00";"14.00";"15.00";"16.00";"17.00"},0))</f>
        <v/>
      </c>
      <c r="M101" s="28" t="str">
        <f aca="false">IF(OR($L101="",$J101=""),"",$L101+$J101-1)</f>
        <v/>
      </c>
      <c r="N101" s="28" t="str">
        <f aca="false">IF($A101="","",IF(OR($L101="",$M101=""),"",IF($M101&gt;10,"⚠ Saat Taşıyor","")))</f>
        <v/>
      </c>
      <c r="O101" s="28" t="str">
        <f aca="false">IF($A101="","",IF(OR($G101="",$H101="",$L101=""),"",IF(SUMPRODUCT(($A$7:$A$606&lt;&gt;"")*($G$7:$G$606=$G101)*($H$7:$H$606=$H101)*(ROW($A$7:$A$606)&lt;&gt;101)*($L$7:$L$606&lt;=$M101)*($M$7:$M$606&gt;=$L101))&gt;0,"⚠ Çakışma","OK")))</f>
        <v/>
      </c>
      <c r="P101" s="28" t="str">
        <f aca="false">IF($A101="","",IF(OR($K101="",$H101="",$L101=""),"",IF(SUMPRODUCT(($A$7:$A$606&lt;&gt;"")*($K$7:$K$606=$K101)*($H$7:$H$606=$H101)*(ROW($A$7:$A$606)&lt;&gt;101)*($L$7:$L$606&lt;=$M101)*($M$7:$M$606&gt;=$L101))&gt;0,"⚠ Çakışma","OK")))</f>
        <v/>
      </c>
      <c r="Q101" s="28" t="str">
        <f aca="false">IF($A101="","",IF(OR($E101="",$H101="",$L101=""),"",IF(SUMPRODUCT(($A$7:$A$606&lt;&gt;"")*($E$7:$E$606=$E101)*($H$7:$H$606=$H101)*(ROW($A$7:$A$606)&lt;&gt;101)*($L$7:$L$606&lt;=$M101)*($M$7:$M$606&gt;=$L101))&gt;0,"⚠ Çakışma","OK")))</f>
        <v/>
      </c>
      <c r="R101" s="28" t="str">
        <f aca="false">IF($A101="","",IF(OR($N101&lt;&gt;"",$O101="⚠ Çakışma",$P101="⚠ Çakışma",$Q101="⚠ Çakışma"),"⚠ Kontrol Et","✓ Uygun"))</f>
        <v/>
      </c>
    </row>
    <row r="102" customFormat="false" ht="13.5" hidden="false" customHeight="true" outlineLevel="0" collapsed="false">
      <c r="A102" s="28" t="str">
        <f aca="false">IF('1-Turizm Rehberliği'!A99="","","Turizm Rehberliği")</f>
        <v/>
      </c>
      <c r="B102" s="28" t="str">
        <f aca="false">IF($A102="","",IF('1-Turizm Rehberliği'!A99="","",'1-Turizm Rehberliği'!A99))</f>
        <v/>
      </c>
      <c r="C102" s="29" t="str">
        <f aca="false">IF($A102="","",IF('1-Turizm Rehberliği'!B99="","",'1-Turizm Rehberliği'!B99))</f>
        <v/>
      </c>
      <c r="D102" s="28" t="str">
        <f aca="false">IF($A102="","",IF('1-Turizm Rehberliği'!C99="","",'1-Turizm Rehberliği'!C99))</f>
        <v/>
      </c>
      <c r="E102" s="28" t="str">
        <f aca="false">IF($A102="","",$A102&amp;"-"&amp;$D102)</f>
        <v/>
      </c>
      <c r="F102" s="28" t="str">
        <f aca="false">IF($A102="","",IF('1-Turizm Rehberliği'!D99="","",'1-Turizm Rehberliği'!D99))</f>
        <v/>
      </c>
      <c r="G102" s="28" t="str">
        <f aca="false">IF($A102="","",IF('1-Turizm Rehberliği'!E99="","",'1-Turizm Rehberliği'!E99))</f>
        <v/>
      </c>
      <c r="H102" s="28" t="str">
        <f aca="false">IF($A102="","",IF('1-Turizm Rehberliği'!F99="","",'1-Turizm Rehberliği'!F99))</f>
        <v/>
      </c>
      <c r="I102" s="28" t="str">
        <f aca="false">IF($A102="","",IF('1-Turizm Rehberliği'!G99="","",'1-Turizm Rehberliği'!G99))</f>
        <v/>
      </c>
      <c r="J102" s="28" t="str">
        <f aca="false">IF($A102="","",IF('1-Turizm Rehberliği'!H99="","",'1-Turizm Rehberliği'!H99))</f>
        <v/>
      </c>
      <c r="K102" s="28" t="str">
        <f aca="false">IF($A102="","",IF('1-Turizm Rehberliği'!I99="","",'1-Turizm Rehberliği'!I99))</f>
        <v/>
      </c>
      <c r="L102" s="28" t="str">
        <f aca="false">IF($I102="","",MATCH($I102,{"08.00";"09.00";"10.00";"11.00";"12.00";"13.00";"14.00";"15.00";"16.00";"17.00"},0))</f>
        <v/>
      </c>
      <c r="M102" s="28" t="str">
        <f aca="false">IF(OR($L102="",$J102=""),"",$L102+$J102-1)</f>
        <v/>
      </c>
      <c r="N102" s="28" t="str">
        <f aca="false">IF($A102="","",IF(OR($L102="",$M102=""),"",IF($M102&gt;10,"⚠ Saat Taşıyor","")))</f>
        <v/>
      </c>
      <c r="O102" s="28" t="str">
        <f aca="false">IF($A102="","",IF(OR($G102="",$H102="",$L102=""),"",IF(SUMPRODUCT(($A$7:$A$606&lt;&gt;"")*($G$7:$G$606=$G102)*($H$7:$H$606=$H102)*(ROW($A$7:$A$606)&lt;&gt;102)*($L$7:$L$606&lt;=$M102)*($M$7:$M$606&gt;=$L102))&gt;0,"⚠ Çakışma","OK")))</f>
        <v/>
      </c>
      <c r="P102" s="28" t="str">
        <f aca="false">IF($A102="","",IF(OR($K102="",$H102="",$L102=""),"",IF(SUMPRODUCT(($A$7:$A$606&lt;&gt;"")*($K$7:$K$606=$K102)*($H$7:$H$606=$H102)*(ROW($A$7:$A$606)&lt;&gt;102)*($L$7:$L$606&lt;=$M102)*($M$7:$M$606&gt;=$L102))&gt;0,"⚠ Çakışma","OK")))</f>
        <v/>
      </c>
      <c r="Q102" s="28" t="str">
        <f aca="false">IF($A102="","",IF(OR($E102="",$H102="",$L102=""),"",IF(SUMPRODUCT(($A$7:$A$606&lt;&gt;"")*($E$7:$E$606=$E102)*($H$7:$H$606=$H102)*(ROW($A$7:$A$606)&lt;&gt;102)*($L$7:$L$606&lt;=$M102)*($M$7:$M$606&gt;=$L102))&gt;0,"⚠ Çakışma","OK")))</f>
        <v/>
      </c>
      <c r="R102" s="28" t="str">
        <f aca="false">IF($A102="","",IF(OR($N102&lt;&gt;"",$O102="⚠ Çakışma",$P102="⚠ Çakışma",$Q102="⚠ Çakışma"),"⚠ Kontrol Et","✓ Uygun"))</f>
        <v/>
      </c>
    </row>
    <row r="103" customFormat="false" ht="13.5" hidden="false" customHeight="true" outlineLevel="0" collapsed="false">
      <c r="A103" s="28" t="str">
        <f aca="false">IF('1-Turizm Rehberliği'!A100="","","Turizm Rehberliği")</f>
        <v/>
      </c>
      <c r="B103" s="28" t="str">
        <f aca="false">IF($A103="","",IF('1-Turizm Rehberliği'!A100="","",'1-Turizm Rehberliği'!A100))</f>
        <v/>
      </c>
      <c r="C103" s="29" t="str">
        <f aca="false">IF($A103="","",IF('1-Turizm Rehberliği'!B100="","",'1-Turizm Rehberliği'!B100))</f>
        <v/>
      </c>
      <c r="D103" s="28" t="str">
        <f aca="false">IF($A103="","",IF('1-Turizm Rehberliği'!C100="","",'1-Turizm Rehberliği'!C100))</f>
        <v/>
      </c>
      <c r="E103" s="28" t="str">
        <f aca="false">IF($A103="","",$A103&amp;"-"&amp;$D103)</f>
        <v/>
      </c>
      <c r="F103" s="28" t="str">
        <f aca="false">IF($A103="","",IF('1-Turizm Rehberliği'!D100="","",'1-Turizm Rehberliği'!D100))</f>
        <v/>
      </c>
      <c r="G103" s="28" t="str">
        <f aca="false">IF($A103="","",IF('1-Turizm Rehberliği'!E100="","",'1-Turizm Rehberliği'!E100))</f>
        <v/>
      </c>
      <c r="H103" s="28" t="str">
        <f aca="false">IF($A103="","",IF('1-Turizm Rehberliği'!F100="","",'1-Turizm Rehberliği'!F100))</f>
        <v/>
      </c>
      <c r="I103" s="28" t="str">
        <f aca="false">IF($A103="","",IF('1-Turizm Rehberliği'!G100="","",'1-Turizm Rehberliği'!G100))</f>
        <v/>
      </c>
      <c r="J103" s="28" t="str">
        <f aca="false">IF($A103="","",IF('1-Turizm Rehberliği'!H100="","",'1-Turizm Rehberliği'!H100))</f>
        <v/>
      </c>
      <c r="K103" s="28" t="str">
        <f aca="false">IF($A103="","",IF('1-Turizm Rehberliği'!I100="","",'1-Turizm Rehberliği'!I100))</f>
        <v/>
      </c>
      <c r="L103" s="28" t="str">
        <f aca="false">IF($I103="","",MATCH($I103,{"08.00";"09.00";"10.00";"11.00";"12.00";"13.00";"14.00";"15.00";"16.00";"17.00"},0))</f>
        <v/>
      </c>
      <c r="M103" s="28" t="str">
        <f aca="false">IF(OR($L103="",$J103=""),"",$L103+$J103-1)</f>
        <v/>
      </c>
      <c r="N103" s="28" t="str">
        <f aca="false">IF($A103="","",IF(OR($L103="",$M103=""),"",IF($M103&gt;10,"⚠ Saat Taşıyor","")))</f>
        <v/>
      </c>
      <c r="O103" s="28" t="str">
        <f aca="false">IF($A103="","",IF(OR($G103="",$H103="",$L103=""),"",IF(SUMPRODUCT(($A$7:$A$606&lt;&gt;"")*($G$7:$G$606=$G103)*($H$7:$H$606=$H103)*(ROW($A$7:$A$606)&lt;&gt;103)*($L$7:$L$606&lt;=$M103)*($M$7:$M$606&gt;=$L103))&gt;0,"⚠ Çakışma","OK")))</f>
        <v/>
      </c>
      <c r="P103" s="28" t="str">
        <f aca="false">IF($A103="","",IF(OR($K103="",$H103="",$L103=""),"",IF(SUMPRODUCT(($A$7:$A$606&lt;&gt;"")*($K$7:$K$606=$K103)*($H$7:$H$606=$H103)*(ROW($A$7:$A$606)&lt;&gt;103)*($L$7:$L$606&lt;=$M103)*($M$7:$M$606&gt;=$L103))&gt;0,"⚠ Çakışma","OK")))</f>
        <v/>
      </c>
      <c r="Q103" s="28" t="str">
        <f aca="false">IF($A103="","",IF(OR($E103="",$H103="",$L103=""),"",IF(SUMPRODUCT(($A$7:$A$606&lt;&gt;"")*($E$7:$E$606=$E103)*($H$7:$H$606=$H103)*(ROW($A$7:$A$606)&lt;&gt;103)*($L$7:$L$606&lt;=$M103)*($M$7:$M$606&gt;=$L103))&gt;0,"⚠ Çakışma","OK")))</f>
        <v/>
      </c>
      <c r="R103" s="28" t="str">
        <f aca="false">IF($A103="","",IF(OR($N103&lt;&gt;"",$O103="⚠ Çakışma",$P103="⚠ Çakışma",$Q103="⚠ Çakışma"),"⚠ Kontrol Et","✓ Uygun"))</f>
        <v/>
      </c>
    </row>
    <row r="104" customFormat="false" ht="13.5" hidden="false" customHeight="true" outlineLevel="0" collapsed="false">
      <c r="A104" s="28" t="str">
        <f aca="false">IF('1-Turizm Rehberliği'!A101="","","Turizm Rehberliği")</f>
        <v/>
      </c>
      <c r="B104" s="28" t="str">
        <f aca="false">IF($A104="","",IF('1-Turizm Rehberliği'!A101="","",'1-Turizm Rehberliği'!A101))</f>
        <v/>
      </c>
      <c r="C104" s="29" t="str">
        <f aca="false">IF($A104="","",IF('1-Turizm Rehberliği'!B101="","",'1-Turizm Rehberliği'!B101))</f>
        <v/>
      </c>
      <c r="D104" s="28" t="str">
        <f aca="false">IF($A104="","",IF('1-Turizm Rehberliği'!C101="","",'1-Turizm Rehberliği'!C101))</f>
        <v/>
      </c>
      <c r="E104" s="28" t="str">
        <f aca="false">IF($A104="","",$A104&amp;"-"&amp;$D104)</f>
        <v/>
      </c>
      <c r="F104" s="28" t="str">
        <f aca="false">IF($A104="","",IF('1-Turizm Rehberliği'!D101="","",'1-Turizm Rehberliği'!D101))</f>
        <v/>
      </c>
      <c r="G104" s="28" t="str">
        <f aca="false">IF($A104="","",IF('1-Turizm Rehberliği'!E101="","",'1-Turizm Rehberliği'!E101))</f>
        <v/>
      </c>
      <c r="H104" s="28" t="str">
        <f aca="false">IF($A104="","",IF('1-Turizm Rehberliği'!F101="","",'1-Turizm Rehberliği'!F101))</f>
        <v/>
      </c>
      <c r="I104" s="28" t="str">
        <f aca="false">IF($A104="","",IF('1-Turizm Rehberliği'!G101="","",'1-Turizm Rehberliği'!G101))</f>
        <v/>
      </c>
      <c r="J104" s="28" t="str">
        <f aca="false">IF($A104="","",IF('1-Turizm Rehberliği'!H101="","",'1-Turizm Rehberliği'!H101))</f>
        <v/>
      </c>
      <c r="K104" s="28" t="str">
        <f aca="false">IF($A104="","",IF('1-Turizm Rehberliği'!I101="","",'1-Turizm Rehberliği'!I101))</f>
        <v/>
      </c>
      <c r="L104" s="28" t="str">
        <f aca="false">IF($I104="","",MATCH($I104,{"08.00";"09.00";"10.00";"11.00";"12.00";"13.00";"14.00";"15.00";"16.00";"17.00"},0))</f>
        <v/>
      </c>
      <c r="M104" s="28" t="str">
        <f aca="false">IF(OR($L104="",$J104=""),"",$L104+$J104-1)</f>
        <v/>
      </c>
      <c r="N104" s="28" t="str">
        <f aca="false">IF($A104="","",IF(OR($L104="",$M104=""),"",IF($M104&gt;10,"⚠ Saat Taşıyor","")))</f>
        <v/>
      </c>
      <c r="O104" s="28" t="str">
        <f aca="false">IF($A104="","",IF(OR($G104="",$H104="",$L104=""),"",IF(SUMPRODUCT(($A$7:$A$606&lt;&gt;"")*($G$7:$G$606=$G104)*($H$7:$H$606=$H104)*(ROW($A$7:$A$606)&lt;&gt;104)*($L$7:$L$606&lt;=$M104)*($M$7:$M$606&gt;=$L104))&gt;0,"⚠ Çakışma","OK")))</f>
        <v/>
      </c>
      <c r="P104" s="28" t="str">
        <f aca="false">IF($A104="","",IF(OR($K104="",$H104="",$L104=""),"",IF(SUMPRODUCT(($A$7:$A$606&lt;&gt;"")*($K$7:$K$606=$K104)*($H$7:$H$606=$H104)*(ROW($A$7:$A$606)&lt;&gt;104)*($L$7:$L$606&lt;=$M104)*($M$7:$M$606&gt;=$L104))&gt;0,"⚠ Çakışma","OK")))</f>
        <v/>
      </c>
      <c r="Q104" s="28" t="str">
        <f aca="false">IF($A104="","",IF(OR($E104="",$H104="",$L104=""),"",IF(SUMPRODUCT(($A$7:$A$606&lt;&gt;"")*($E$7:$E$606=$E104)*($H$7:$H$606=$H104)*(ROW($A$7:$A$606)&lt;&gt;104)*($L$7:$L$606&lt;=$M104)*($M$7:$M$606&gt;=$L104))&gt;0,"⚠ Çakışma","OK")))</f>
        <v/>
      </c>
      <c r="R104" s="28" t="str">
        <f aca="false">IF($A104="","",IF(OR($N104&lt;&gt;"",$O104="⚠ Çakışma",$P104="⚠ Çakışma",$Q104="⚠ Çakışma"),"⚠ Kontrol Et","✓ Uygun"))</f>
        <v/>
      </c>
    </row>
    <row r="105" customFormat="false" ht="13.5" hidden="false" customHeight="true" outlineLevel="0" collapsed="false">
      <c r="A105" s="28" t="str">
        <f aca="false">IF('1-Turizm Rehberliği'!A102="","","Turizm Rehberliği")</f>
        <v/>
      </c>
      <c r="B105" s="28" t="str">
        <f aca="false">IF($A105="","",IF('1-Turizm Rehberliği'!A102="","",'1-Turizm Rehberliği'!A102))</f>
        <v/>
      </c>
      <c r="C105" s="29" t="str">
        <f aca="false">IF($A105="","",IF('1-Turizm Rehberliği'!B102="","",'1-Turizm Rehberliği'!B102))</f>
        <v/>
      </c>
      <c r="D105" s="28" t="str">
        <f aca="false">IF($A105="","",IF('1-Turizm Rehberliği'!C102="","",'1-Turizm Rehberliği'!C102))</f>
        <v/>
      </c>
      <c r="E105" s="28" t="str">
        <f aca="false">IF($A105="","",$A105&amp;"-"&amp;$D105)</f>
        <v/>
      </c>
      <c r="F105" s="28" t="str">
        <f aca="false">IF($A105="","",IF('1-Turizm Rehberliği'!D102="","",'1-Turizm Rehberliği'!D102))</f>
        <v/>
      </c>
      <c r="G105" s="28" t="str">
        <f aca="false">IF($A105="","",IF('1-Turizm Rehberliği'!E102="","",'1-Turizm Rehberliği'!E102))</f>
        <v/>
      </c>
      <c r="H105" s="28" t="str">
        <f aca="false">IF($A105="","",IF('1-Turizm Rehberliği'!F102="","",'1-Turizm Rehberliği'!F102))</f>
        <v/>
      </c>
      <c r="I105" s="28" t="str">
        <f aca="false">IF($A105="","",IF('1-Turizm Rehberliği'!G102="","",'1-Turizm Rehberliği'!G102))</f>
        <v/>
      </c>
      <c r="J105" s="28" t="str">
        <f aca="false">IF($A105="","",IF('1-Turizm Rehberliği'!H102="","",'1-Turizm Rehberliği'!H102))</f>
        <v/>
      </c>
      <c r="K105" s="28" t="str">
        <f aca="false">IF($A105="","",IF('1-Turizm Rehberliği'!I102="","",'1-Turizm Rehberliği'!I102))</f>
        <v/>
      </c>
      <c r="L105" s="28" t="str">
        <f aca="false">IF($I105="","",MATCH($I105,{"08.00";"09.00";"10.00";"11.00";"12.00";"13.00";"14.00";"15.00";"16.00";"17.00"},0))</f>
        <v/>
      </c>
      <c r="M105" s="28" t="str">
        <f aca="false">IF(OR($L105="",$J105=""),"",$L105+$J105-1)</f>
        <v/>
      </c>
      <c r="N105" s="28" t="str">
        <f aca="false">IF($A105="","",IF(OR($L105="",$M105=""),"",IF($M105&gt;10,"⚠ Saat Taşıyor","")))</f>
        <v/>
      </c>
      <c r="O105" s="28" t="str">
        <f aca="false">IF($A105="","",IF(OR($G105="",$H105="",$L105=""),"",IF(SUMPRODUCT(($A$7:$A$606&lt;&gt;"")*($G$7:$G$606=$G105)*($H$7:$H$606=$H105)*(ROW($A$7:$A$606)&lt;&gt;105)*($L$7:$L$606&lt;=$M105)*($M$7:$M$606&gt;=$L105))&gt;0,"⚠ Çakışma","OK")))</f>
        <v/>
      </c>
      <c r="P105" s="28" t="str">
        <f aca="false">IF($A105="","",IF(OR($K105="",$H105="",$L105=""),"",IF(SUMPRODUCT(($A$7:$A$606&lt;&gt;"")*($K$7:$K$606=$K105)*($H$7:$H$606=$H105)*(ROW($A$7:$A$606)&lt;&gt;105)*($L$7:$L$606&lt;=$M105)*($M$7:$M$606&gt;=$L105))&gt;0,"⚠ Çakışma","OK")))</f>
        <v/>
      </c>
      <c r="Q105" s="28" t="str">
        <f aca="false">IF($A105="","",IF(OR($E105="",$H105="",$L105=""),"",IF(SUMPRODUCT(($A$7:$A$606&lt;&gt;"")*($E$7:$E$606=$E105)*($H$7:$H$606=$H105)*(ROW($A$7:$A$606)&lt;&gt;105)*($L$7:$L$606&lt;=$M105)*($M$7:$M$606&gt;=$L105))&gt;0,"⚠ Çakışma","OK")))</f>
        <v/>
      </c>
      <c r="R105" s="28" t="str">
        <f aca="false">IF($A105="","",IF(OR($N105&lt;&gt;"",$O105="⚠ Çakışma",$P105="⚠ Çakışma",$Q105="⚠ Çakışma"),"⚠ Kontrol Et","✓ Uygun"))</f>
        <v/>
      </c>
    </row>
    <row r="106" customFormat="false" ht="13.5" hidden="false" customHeight="true" outlineLevel="0" collapsed="false">
      <c r="A106" s="28" t="str">
        <f aca="false">IF('1-Turizm Rehberliği'!A103="","","Turizm Rehberliği")</f>
        <v/>
      </c>
      <c r="B106" s="28" t="str">
        <f aca="false">IF($A106="","",IF('1-Turizm Rehberliği'!A103="","",'1-Turizm Rehberliği'!A103))</f>
        <v/>
      </c>
      <c r="C106" s="29" t="str">
        <f aca="false">IF($A106="","",IF('1-Turizm Rehberliği'!B103="","",'1-Turizm Rehberliği'!B103))</f>
        <v/>
      </c>
      <c r="D106" s="28" t="str">
        <f aca="false">IF($A106="","",IF('1-Turizm Rehberliği'!C103="","",'1-Turizm Rehberliği'!C103))</f>
        <v/>
      </c>
      <c r="E106" s="28" t="str">
        <f aca="false">IF($A106="","",$A106&amp;"-"&amp;$D106)</f>
        <v/>
      </c>
      <c r="F106" s="28" t="str">
        <f aca="false">IF($A106="","",IF('1-Turizm Rehberliği'!D103="","",'1-Turizm Rehberliği'!D103))</f>
        <v/>
      </c>
      <c r="G106" s="28" t="str">
        <f aca="false">IF($A106="","",IF('1-Turizm Rehberliği'!E103="","",'1-Turizm Rehberliği'!E103))</f>
        <v/>
      </c>
      <c r="H106" s="28" t="str">
        <f aca="false">IF($A106="","",IF('1-Turizm Rehberliği'!F103="","",'1-Turizm Rehberliği'!F103))</f>
        <v/>
      </c>
      <c r="I106" s="28" t="str">
        <f aca="false">IF($A106="","",IF('1-Turizm Rehberliği'!G103="","",'1-Turizm Rehberliği'!G103))</f>
        <v/>
      </c>
      <c r="J106" s="28" t="str">
        <f aca="false">IF($A106="","",IF('1-Turizm Rehberliği'!H103="","",'1-Turizm Rehberliği'!H103))</f>
        <v/>
      </c>
      <c r="K106" s="28" t="str">
        <f aca="false">IF($A106="","",IF('1-Turizm Rehberliği'!I103="","",'1-Turizm Rehberliği'!I103))</f>
        <v/>
      </c>
      <c r="L106" s="28" t="str">
        <f aca="false">IF($I106="","",MATCH($I106,{"08.00";"09.00";"10.00";"11.00";"12.00";"13.00";"14.00";"15.00";"16.00";"17.00"},0))</f>
        <v/>
      </c>
      <c r="M106" s="28" t="str">
        <f aca="false">IF(OR($L106="",$J106=""),"",$L106+$J106-1)</f>
        <v/>
      </c>
      <c r="N106" s="28" t="str">
        <f aca="false">IF($A106="","",IF(OR($L106="",$M106=""),"",IF($M106&gt;10,"⚠ Saat Taşıyor","")))</f>
        <v/>
      </c>
      <c r="O106" s="28" t="str">
        <f aca="false">IF($A106="","",IF(OR($G106="",$H106="",$L106=""),"",IF(SUMPRODUCT(($A$7:$A$606&lt;&gt;"")*($G$7:$G$606=$G106)*($H$7:$H$606=$H106)*(ROW($A$7:$A$606)&lt;&gt;106)*($L$7:$L$606&lt;=$M106)*($M$7:$M$606&gt;=$L106))&gt;0,"⚠ Çakışma","OK")))</f>
        <v/>
      </c>
      <c r="P106" s="28" t="str">
        <f aca="false">IF($A106="","",IF(OR($K106="",$H106="",$L106=""),"",IF(SUMPRODUCT(($A$7:$A$606&lt;&gt;"")*($K$7:$K$606=$K106)*($H$7:$H$606=$H106)*(ROW($A$7:$A$606)&lt;&gt;106)*($L$7:$L$606&lt;=$M106)*($M$7:$M$606&gt;=$L106))&gt;0,"⚠ Çakışma","OK")))</f>
        <v/>
      </c>
      <c r="Q106" s="28" t="str">
        <f aca="false">IF($A106="","",IF(OR($E106="",$H106="",$L106=""),"",IF(SUMPRODUCT(($A$7:$A$606&lt;&gt;"")*($E$7:$E$606=$E106)*($H$7:$H$606=$H106)*(ROW($A$7:$A$606)&lt;&gt;106)*($L$7:$L$606&lt;=$M106)*($M$7:$M$606&gt;=$L106))&gt;0,"⚠ Çakışma","OK")))</f>
        <v/>
      </c>
      <c r="R106" s="28" t="str">
        <f aca="false">IF($A106="","",IF(OR($N106&lt;&gt;"",$O106="⚠ Çakışma",$P106="⚠ Çakışma",$Q106="⚠ Çakışma"),"⚠ Kontrol Et","✓ Uygun"))</f>
        <v/>
      </c>
    </row>
    <row r="107" customFormat="false" ht="13.5" hidden="false" customHeight="true" outlineLevel="0" collapsed="false">
      <c r="A107" s="28" t="str">
        <f aca="false">IF('1-Turizm Rehberliği'!A104="","","Turizm Rehberliği")</f>
        <v/>
      </c>
      <c r="B107" s="28" t="str">
        <f aca="false">IF($A107="","",IF('1-Turizm Rehberliği'!A104="","",'1-Turizm Rehberliği'!A104))</f>
        <v/>
      </c>
      <c r="C107" s="29" t="str">
        <f aca="false">IF($A107="","",IF('1-Turizm Rehberliği'!B104="","",'1-Turizm Rehberliği'!B104))</f>
        <v/>
      </c>
      <c r="D107" s="28" t="str">
        <f aca="false">IF($A107="","",IF('1-Turizm Rehberliği'!C104="","",'1-Turizm Rehberliği'!C104))</f>
        <v/>
      </c>
      <c r="E107" s="28" t="str">
        <f aca="false">IF($A107="","",$A107&amp;"-"&amp;$D107)</f>
        <v/>
      </c>
      <c r="F107" s="28" t="str">
        <f aca="false">IF($A107="","",IF('1-Turizm Rehberliği'!D104="","",'1-Turizm Rehberliği'!D104))</f>
        <v/>
      </c>
      <c r="G107" s="28" t="str">
        <f aca="false">IF($A107="","",IF('1-Turizm Rehberliği'!E104="","",'1-Turizm Rehberliği'!E104))</f>
        <v/>
      </c>
      <c r="H107" s="28" t="str">
        <f aca="false">IF($A107="","",IF('1-Turizm Rehberliği'!F104="","",'1-Turizm Rehberliği'!F104))</f>
        <v/>
      </c>
      <c r="I107" s="28" t="str">
        <f aca="false">IF($A107="","",IF('1-Turizm Rehberliği'!G104="","",'1-Turizm Rehberliği'!G104))</f>
        <v/>
      </c>
      <c r="J107" s="28" t="str">
        <f aca="false">IF($A107="","",IF('1-Turizm Rehberliği'!H104="","",'1-Turizm Rehberliği'!H104))</f>
        <v/>
      </c>
      <c r="K107" s="28" t="str">
        <f aca="false">IF($A107="","",IF('1-Turizm Rehberliği'!I104="","",'1-Turizm Rehberliği'!I104))</f>
        <v/>
      </c>
      <c r="L107" s="28" t="str">
        <f aca="false">IF($I107="","",MATCH($I107,{"08.00";"09.00";"10.00";"11.00";"12.00";"13.00";"14.00";"15.00";"16.00";"17.00"},0))</f>
        <v/>
      </c>
      <c r="M107" s="28" t="str">
        <f aca="false">IF(OR($L107="",$J107=""),"",$L107+$J107-1)</f>
        <v/>
      </c>
      <c r="N107" s="28" t="str">
        <f aca="false">IF($A107="","",IF(OR($L107="",$M107=""),"",IF($M107&gt;10,"⚠ Saat Taşıyor","")))</f>
        <v/>
      </c>
      <c r="O107" s="28" t="str">
        <f aca="false">IF($A107="","",IF(OR($G107="",$H107="",$L107=""),"",IF(SUMPRODUCT(($A$7:$A$606&lt;&gt;"")*($G$7:$G$606=$G107)*($H$7:$H$606=$H107)*(ROW($A$7:$A$606)&lt;&gt;107)*($L$7:$L$606&lt;=$M107)*($M$7:$M$606&gt;=$L107))&gt;0,"⚠ Çakışma","OK")))</f>
        <v/>
      </c>
      <c r="P107" s="28" t="str">
        <f aca="false">IF($A107="","",IF(OR($K107="",$H107="",$L107=""),"",IF(SUMPRODUCT(($A$7:$A$606&lt;&gt;"")*($K$7:$K$606=$K107)*($H$7:$H$606=$H107)*(ROW($A$7:$A$606)&lt;&gt;107)*($L$7:$L$606&lt;=$M107)*($M$7:$M$606&gt;=$L107))&gt;0,"⚠ Çakışma","OK")))</f>
        <v/>
      </c>
      <c r="Q107" s="28" t="str">
        <f aca="false">IF($A107="","",IF(OR($E107="",$H107="",$L107=""),"",IF(SUMPRODUCT(($A$7:$A$606&lt;&gt;"")*($E$7:$E$606=$E107)*($H$7:$H$606=$H107)*(ROW($A$7:$A$606)&lt;&gt;107)*($L$7:$L$606&lt;=$M107)*($M$7:$M$606&gt;=$L107))&gt;0,"⚠ Çakışma","OK")))</f>
        <v/>
      </c>
      <c r="R107" s="28" t="str">
        <f aca="false">IF($A107="","",IF(OR($N107&lt;&gt;"",$O107="⚠ Çakışma",$P107="⚠ Çakışma",$Q107="⚠ Çakışma"),"⚠ Kontrol Et","✓ Uygun"))</f>
        <v/>
      </c>
    </row>
    <row r="108" customFormat="false" ht="13.5" hidden="false" customHeight="true" outlineLevel="0" collapsed="false">
      <c r="A108" s="28" t="str">
        <f aca="false">IF('1-Turizm Rehberliği'!A105="","","Turizm Rehberliği")</f>
        <v/>
      </c>
      <c r="B108" s="28" t="str">
        <f aca="false">IF($A108="","",IF('1-Turizm Rehberliği'!A105="","",'1-Turizm Rehberliği'!A105))</f>
        <v/>
      </c>
      <c r="C108" s="29" t="str">
        <f aca="false">IF($A108="","",IF('1-Turizm Rehberliği'!B105="","",'1-Turizm Rehberliği'!B105))</f>
        <v/>
      </c>
      <c r="D108" s="28" t="str">
        <f aca="false">IF($A108="","",IF('1-Turizm Rehberliği'!C105="","",'1-Turizm Rehberliği'!C105))</f>
        <v/>
      </c>
      <c r="E108" s="28" t="str">
        <f aca="false">IF($A108="","",$A108&amp;"-"&amp;$D108)</f>
        <v/>
      </c>
      <c r="F108" s="28" t="str">
        <f aca="false">IF($A108="","",IF('1-Turizm Rehberliği'!D105="","",'1-Turizm Rehberliği'!D105))</f>
        <v/>
      </c>
      <c r="G108" s="28" t="str">
        <f aca="false">IF($A108="","",IF('1-Turizm Rehberliği'!E105="","",'1-Turizm Rehberliği'!E105))</f>
        <v/>
      </c>
      <c r="H108" s="28" t="str">
        <f aca="false">IF($A108="","",IF('1-Turizm Rehberliği'!F105="","",'1-Turizm Rehberliği'!F105))</f>
        <v/>
      </c>
      <c r="I108" s="28" t="str">
        <f aca="false">IF($A108="","",IF('1-Turizm Rehberliği'!G105="","",'1-Turizm Rehberliği'!G105))</f>
        <v/>
      </c>
      <c r="J108" s="28" t="str">
        <f aca="false">IF($A108="","",IF('1-Turizm Rehberliği'!H105="","",'1-Turizm Rehberliği'!H105))</f>
        <v/>
      </c>
      <c r="K108" s="28" t="str">
        <f aca="false">IF($A108="","",IF('1-Turizm Rehberliği'!I105="","",'1-Turizm Rehberliği'!I105))</f>
        <v/>
      </c>
      <c r="L108" s="28" t="str">
        <f aca="false">IF($I108="","",MATCH($I108,{"08.00";"09.00";"10.00";"11.00";"12.00";"13.00";"14.00";"15.00";"16.00";"17.00"},0))</f>
        <v/>
      </c>
      <c r="M108" s="28" t="str">
        <f aca="false">IF(OR($L108="",$J108=""),"",$L108+$J108-1)</f>
        <v/>
      </c>
      <c r="N108" s="28" t="str">
        <f aca="false">IF($A108="","",IF(OR($L108="",$M108=""),"",IF($M108&gt;10,"⚠ Saat Taşıyor","")))</f>
        <v/>
      </c>
      <c r="O108" s="28" t="str">
        <f aca="false">IF($A108="","",IF(OR($G108="",$H108="",$L108=""),"",IF(SUMPRODUCT(($A$7:$A$606&lt;&gt;"")*($G$7:$G$606=$G108)*($H$7:$H$606=$H108)*(ROW($A$7:$A$606)&lt;&gt;108)*($L$7:$L$606&lt;=$M108)*($M$7:$M$606&gt;=$L108))&gt;0,"⚠ Çakışma","OK")))</f>
        <v/>
      </c>
      <c r="P108" s="28" t="str">
        <f aca="false">IF($A108="","",IF(OR($K108="",$H108="",$L108=""),"",IF(SUMPRODUCT(($A$7:$A$606&lt;&gt;"")*($K$7:$K$606=$K108)*($H$7:$H$606=$H108)*(ROW($A$7:$A$606)&lt;&gt;108)*($L$7:$L$606&lt;=$M108)*($M$7:$M$606&gt;=$L108))&gt;0,"⚠ Çakışma","OK")))</f>
        <v/>
      </c>
      <c r="Q108" s="28" t="str">
        <f aca="false">IF($A108="","",IF(OR($E108="",$H108="",$L108=""),"",IF(SUMPRODUCT(($A$7:$A$606&lt;&gt;"")*($E$7:$E$606=$E108)*($H$7:$H$606=$H108)*(ROW($A$7:$A$606)&lt;&gt;108)*($L$7:$L$606&lt;=$M108)*($M$7:$M$606&gt;=$L108))&gt;0,"⚠ Çakışma","OK")))</f>
        <v/>
      </c>
      <c r="R108" s="28" t="str">
        <f aca="false">IF($A108="","",IF(OR($N108&lt;&gt;"",$O108="⚠ Çakışma",$P108="⚠ Çakışma",$Q108="⚠ Çakışma"),"⚠ Kontrol Et","✓ Uygun"))</f>
        <v/>
      </c>
    </row>
    <row r="109" customFormat="false" ht="13.5" hidden="false" customHeight="true" outlineLevel="0" collapsed="false">
      <c r="A109" s="28" t="str">
        <f aca="false">IF('1-Turizm Rehberliği'!A106="","","Turizm Rehberliği")</f>
        <v/>
      </c>
      <c r="B109" s="28" t="str">
        <f aca="false">IF($A109="","",IF('1-Turizm Rehberliği'!A106="","",'1-Turizm Rehberliği'!A106))</f>
        <v/>
      </c>
      <c r="C109" s="29" t="str">
        <f aca="false">IF($A109="","",IF('1-Turizm Rehberliği'!B106="","",'1-Turizm Rehberliği'!B106))</f>
        <v/>
      </c>
      <c r="D109" s="28" t="str">
        <f aca="false">IF($A109="","",IF('1-Turizm Rehberliği'!C106="","",'1-Turizm Rehberliği'!C106))</f>
        <v/>
      </c>
      <c r="E109" s="28" t="str">
        <f aca="false">IF($A109="","",$A109&amp;"-"&amp;$D109)</f>
        <v/>
      </c>
      <c r="F109" s="28" t="str">
        <f aca="false">IF($A109="","",IF('1-Turizm Rehberliği'!D106="","",'1-Turizm Rehberliği'!D106))</f>
        <v/>
      </c>
      <c r="G109" s="28" t="str">
        <f aca="false">IF($A109="","",IF('1-Turizm Rehberliği'!E106="","",'1-Turizm Rehberliği'!E106))</f>
        <v/>
      </c>
      <c r="H109" s="28" t="str">
        <f aca="false">IF($A109="","",IF('1-Turizm Rehberliği'!F106="","",'1-Turizm Rehberliği'!F106))</f>
        <v/>
      </c>
      <c r="I109" s="28" t="str">
        <f aca="false">IF($A109="","",IF('1-Turizm Rehberliği'!G106="","",'1-Turizm Rehberliği'!G106))</f>
        <v/>
      </c>
      <c r="J109" s="28" t="str">
        <f aca="false">IF($A109="","",IF('1-Turizm Rehberliği'!H106="","",'1-Turizm Rehberliği'!H106))</f>
        <v/>
      </c>
      <c r="K109" s="28" t="str">
        <f aca="false">IF($A109="","",IF('1-Turizm Rehberliği'!I106="","",'1-Turizm Rehberliği'!I106))</f>
        <v/>
      </c>
      <c r="L109" s="28" t="str">
        <f aca="false">IF($I109="","",MATCH($I109,{"08.00";"09.00";"10.00";"11.00";"12.00";"13.00";"14.00";"15.00";"16.00";"17.00"},0))</f>
        <v/>
      </c>
      <c r="M109" s="28" t="str">
        <f aca="false">IF(OR($L109="",$J109=""),"",$L109+$J109-1)</f>
        <v/>
      </c>
      <c r="N109" s="28" t="str">
        <f aca="false">IF($A109="","",IF(OR($L109="",$M109=""),"",IF($M109&gt;10,"⚠ Saat Taşıyor","")))</f>
        <v/>
      </c>
      <c r="O109" s="28" t="str">
        <f aca="false">IF($A109="","",IF(OR($G109="",$H109="",$L109=""),"",IF(SUMPRODUCT(($A$7:$A$606&lt;&gt;"")*($G$7:$G$606=$G109)*($H$7:$H$606=$H109)*(ROW($A$7:$A$606)&lt;&gt;109)*($L$7:$L$606&lt;=$M109)*($M$7:$M$606&gt;=$L109))&gt;0,"⚠ Çakışma","OK")))</f>
        <v/>
      </c>
      <c r="P109" s="28" t="str">
        <f aca="false">IF($A109="","",IF(OR($K109="",$H109="",$L109=""),"",IF(SUMPRODUCT(($A$7:$A$606&lt;&gt;"")*($K$7:$K$606=$K109)*($H$7:$H$606=$H109)*(ROW($A$7:$A$606)&lt;&gt;109)*($L$7:$L$606&lt;=$M109)*($M$7:$M$606&gt;=$L109))&gt;0,"⚠ Çakışma","OK")))</f>
        <v/>
      </c>
      <c r="Q109" s="28" t="str">
        <f aca="false">IF($A109="","",IF(OR($E109="",$H109="",$L109=""),"",IF(SUMPRODUCT(($A$7:$A$606&lt;&gt;"")*($E$7:$E$606=$E109)*($H$7:$H$606=$H109)*(ROW($A$7:$A$606)&lt;&gt;109)*($L$7:$L$606&lt;=$M109)*($M$7:$M$606&gt;=$L109))&gt;0,"⚠ Çakışma","OK")))</f>
        <v/>
      </c>
      <c r="R109" s="28" t="str">
        <f aca="false">IF($A109="","",IF(OR($N109&lt;&gt;"",$O109="⚠ Çakışma",$P109="⚠ Çakışma",$Q109="⚠ Çakışma"),"⚠ Kontrol Et","✓ Uygun"))</f>
        <v/>
      </c>
    </row>
    <row r="110" customFormat="false" ht="13.5" hidden="false" customHeight="true" outlineLevel="0" collapsed="false">
      <c r="A110" s="28" t="str">
        <f aca="false">IF('1-Turizm Rehberliği'!A107="","","Turizm Rehberliği")</f>
        <v/>
      </c>
      <c r="B110" s="28" t="str">
        <f aca="false">IF($A110="","",IF('1-Turizm Rehberliği'!A107="","",'1-Turizm Rehberliği'!A107))</f>
        <v/>
      </c>
      <c r="C110" s="29" t="str">
        <f aca="false">IF($A110="","",IF('1-Turizm Rehberliği'!B107="","",'1-Turizm Rehberliği'!B107))</f>
        <v/>
      </c>
      <c r="D110" s="28" t="str">
        <f aca="false">IF($A110="","",IF('1-Turizm Rehberliği'!C107="","",'1-Turizm Rehberliği'!C107))</f>
        <v/>
      </c>
      <c r="E110" s="28" t="str">
        <f aca="false">IF($A110="","",$A110&amp;"-"&amp;$D110)</f>
        <v/>
      </c>
      <c r="F110" s="28" t="str">
        <f aca="false">IF($A110="","",IF('1-Turizm Rehberliği'!D107="","",'1-Turizm Rehberliği'!D107))</f>
        <v/>
      </c>
      <c r="G110" s="28" t="str">
        <f aca="false">IF($A110="","",IF('1-Turizm Rehberliği'!E107="","",'1-Turizm Rehberliği'!E107))</f>
        <v/>
      </c>
      <c r="H110" s="28" t="str">
        <f aca="false">IF($A110="","",IF('1-Turizm Rehberliği'!F107="","",'1-Turizm Rehberliği'!F107))</f>
        <v/>
      </c>
      <c r="I110" s="28" t="str">
        <f aca="false">IF($A110="","",IF('1-Turizm Rehberliği'!G107="","",'1-Turizm Rehberliği'!G107))</f>
        <v/>
      </c>
      <c r="J110" s="28" t="str">
        <f aca="false">IF($A110="","",IF('1-Turizm Rehberliği'!H107="","",'1-Turizm Rehberliği'!H107))</f>
        <v/>
      </c>
      <c r="K110" s="28" t="str">
        <f aca="false">IF($A110="","",IF('1-Turizm Rehberliği'!I107="","",'1-Turizm Rehberliği'!I107))</f>
        <v/>
      </c>
      <c r="L110" s="28" t="str">
        <f aca="false">IF($I110="","",MATCH($I110,{"08.00";"09.00";"10.00";"11.00";"12.00";"13.00";"14.00";"15.00";"16.00";"17.00"},0))</f>
        <v/>
      </c>
      <c r="M110" s="28" t="str">
        <f aca="false">IF(OR($L110="",$J110=""),"",$L110+$J110-1)</f>
        <v/>
      </c>
      <c r="N110" s="28" t="str">
        <f aca="false">IF($A110="","",IF(OR($L110="",$M110=""),"",IF($M110&gt;10,"⚠ Saat Taşıyor","")))</f>
        <v/>
      </c>
      <c r="O110" s="28" t="str">
        <f aca="false">IF($A110="","",IF(OR($G110="",$H110="",$L110=""),"",IF(SUMPRODUCT(($A$7:$A$606&lt;&gt;"")*($G$7:$G$606=$G110)*($H$7:$H$606=$H110)*(ROW($A$7:$A$606)&lt;&gt;110)*($L$7:$L$606&lt;=$M110)*($M$7:$M$606&gt;=$L110))&gt;0,"⚠ Çakışma","OK")))</f>
        <v/>
      </c>
      <c r="P110" s="28" t="str">
        <f aca="false">IF($A110="","",IF(OR($K110="",$H110="",$L110=""),"",IF(SUMPRODUCT(($A$7:$A$606&lt;&gt;"")*($K$7:$K$606=$K110)*($H$7:$H$606=$H110)*(ROW($A$7:$A$606)&lt;&gt;110)*($L$7:$L$606&lt;=$M110)*($M$7:$M$606&gt;=$L110))&gt;0,"⚠ Çakışma","OK")))</f>
        <v/>
      </c>
      <c r="Q110" s="28" t="str">
        <f aca="false">IF($A110="","",IF(OR($E110="",$H110="",$L110=""),"",IF(SUMPRODUCT(($A$7:$A$606&lt;&gt;"")*($E$7:$E$606=$E110)*($H$7:$H$606=$H110)*(ROW($A$7:$A$606)&lt;&gt;110)*($L$7:$L$606&lt;=$M110)*($M$7:$M$606&gt;=$L110))&gt;0,"⚠ Çakışma","OK")))</f>
        <v/>
      </c>
      <c r="R110" s="28" t="str">
        <f aca="false">IF($A110="","",IF(OR($N110&lt;&gt;"",$O110="⚠ Çakışma",$P110="⚠ Çakışma",$Q110="⚠ Çakışma"),"⚠ Kontrol Et","✓ Uygun"))</f>
        <v/>
      </c>
    </row>
    <row r="111" customFormat="false" ht="13.5" hidden="false" customHeight="true" outlineLevel="0" collapsed="false">
      <c r="A111" s="28" t="str">
        <f aca="false">IF('1-Turizm Rehberliği'!A108="","","Turizm Rehberliği")</f>
        <v/>
      </c>
      <c r="B111" s="28" t="str">
        <f aca="false">IF($A111="","",IF('1-Turizm Rehberliği'!A108="","",'1-Turizm Rehberliği'!A108))</f>
        <v/>
      </c>
      <c r="C111" s="29" t="str">
        <f aca="false">IF($A111="","",IF('1-Turizm Rehberliği'!B108="","",'1-Turizm Rehberliği'!B108))</f>
        <v/>
      </c>
      <c r="D111" s="28" t="str">
        <f aca="false">IF($A111="","",IF('1-Turizm Rehberliği'!C108="","",'1-Turizm Rehberliği'!C108))</f>
        <v/>
      </c>
      <c r="E111" s="28" t="str">
        <f aca="false">IF($A111="","",$A111&amp;"-"&amp;$D111)</f>
        <v/>
      </c>
      <c r="F111" s="28" t="str">
        <f aca="false">IF($A111="","",IF('1-Turizm Rehberliği'!D108="","",'1-Turizm Rehberliği'!D108))</f>
        <v/>
      </c>
      <c r="G111" s="28" t="str">
        <f aca="false">IF($A111="","",IF('1-Turizm Rehberliği'!E108="","",'1-Turizm Rehberliği'!E108))</f>
        <v/>
      </c>
      <c r="H111" s="28" t="str">
        <f aca="false">IF($A111="","",IF('1-Turizm Rehberliği'!F108="","",'1-Turizm Rehberliği'!F108))</f>
        <v/>
      </c>
      <c r="I111" s="28" t="str">
        <f aca="false">IF($A111="","",IF('1-Turizm Rehberliği'!G108="","",'1-Turizm Rehberliği'!G108))</f>
        <v/>
      </c>
      <c r="J111" s="28" t="str">
        <f aca="false">IF($A111="","",IF('1-Turizm Rehberliği'!H108="","",'1-Turizm Rehberliği'!H108))</f>
        <v/>
      </c>
      <c r="K111" s="28" t="str">
        <f aca="false">IF($A111="","",IF('1-Turizm Rehberliği'!I108="","",'1-Turizm Rehberliği'!I108))</f>
        <v/>
      </c>
      <c r="L111" s="28" t="str">
        <f aca="false">IF($I111="","",MATCH($I111,{"08.00";"09.00";"10.00";"11.00";"12.00";"13.00";"14.00";"15.00";"16.00";"17.00"},0))</f>
        <v/>
      </c>
      <c r="M111" s="28" t="str">
        <f aca="false">IF(OR($L111="",$J111=""),"",$L111+$J111-1)</f>
        <v/>
      </c>
      <c r="N111" s="28" t="str">
        <f aca="false">IF($A111="","",IF(OR($L111="",$M111=""),"",IF($M111&gt;10,"⚠ Saat Taşıyor","")))</f>
        <v/>
      </c>
      <c r="O111" s="28" t="str">
        <f aca="false">IF($A111="","",IF(OR($G111="",$H111="",$L111=""),"",IF(SUMPRODUCT(($A$7:$A$606&lt;&gt;"")*($G$7:$G$606=$G111)*($H$7:$H$606=$H111)*(ROW($A$7:$A$606)&lt;&gt;111)*($L$7:$L$606&lt;=$M111)*($M$7:$M$606&gt;=$L111))&gt;0,"⚠ Çakışma","OK")))</f>
        <v/>
      </c>
      <c r="P111" s="28" t="str">
        <f aca="false">IF($A111="","",IF(OR($K111="",$H111="",$L111=""),"",IF(SUMPRODUCT(($A$7:$A$606&lt;&gt;"")*($K$7:$K$606=$K111)*($H$7:$H$606=$H111)*(ROW($A$7:$A$606)&lt;&gt;111)*($L$7:$L$606&lt;=$M111)*($M$7:$M$606&gt;=$L111))&gt;0,"⚠ Çakışma","OK")))</f>
        <v/>
      </c>
      <c r="Q111" s="28" t="str">
        <f aca="false">IF($A111="","",IF(OR($E111="",$H111="",$L111=""),"",IF(SUMPRODUCT(($A$7:$A$606&lt;&gt;"")*($E$7:$E$606=$E111)*($H$7:$H$606=$H111)*(ROW($A$7:$A$606)&lt;&gt;111)*($L$7:$L$606&lt;=$M111)*($M$7:$M$606&gt;=$L111))&gt;0,"⚠ Çakışma","OK")))</f>
        <v/>
      </c>
      <c r="R111" s="28" t="str">
        <f aca="false">IF($A111="","",IF(OR($N111&lt;&gt;"",$O111="⚠ Çakışma",$P111="⚠ Çakışma",$Q111="⚠ Çakışma"),"⚠ Kontrol Et","✓ Uygun"))</f>
        <v/>
      </c>
    </row>
    <row r="112" customFormat="false" ht="13.5" hidden="false" customHeight="true" outlineLevel="0" collapsed="false">
      <c r="A112" s="28" t="str">
        <f aca="false">IF('1-Turizm Rehberliği'!A109="","","Turizm Rehberliği")</f>
        <v/>
      </c>
      <c r="B112" s="28" t="str">
        <f aca="false">IF($A112="","",IF('1-Turizm Rehberliği'!A109="","",'1-Turizm Rehberliği'!A109))</f>
        <v/>
      </c>
      <c r="C112" s="29" t="str">
        <f aca="false">IF($A112="","",IF('1-Turizm Rehberliği'!B109="","",'1-Turizm Rehberliği'!B109))</f>
        <v/>
      </c>
      <c r="D112" s="28" t="str">
        <f aca="false">IF($A112="","",IF('1-Turizm Rehberliği'!C109="","",'1-Turizm Rehberliği'!C109))</f>
        <v/>
      </c>
      <c r="E112" s="28" t="str">
        <f aca="false">IF($A112="","",$A112&amp;"-"&amp;$D112)</f>
        <v/>
      </c>
      <c r="F112" s="28" t="str">
        <f aca="false">IF($A112="","",IF('1-Turizm Rehberliği'!D109="","",'1-Turizm Rehberliği'!D109))</f>
        <v/>
      </c>
      <c r="G112" s="28" t="str">
        <f aca="false">IF($A112="","",IF('1-Turizm Rehberliği'!E109="","",'1-Turizm Rehberliği'!E109))</f>
        <v/>
      </c>
      <c r="H112" s="28" t="str">
        <f aca="false">IF($A112="","",IF('1-Turizm Rehberliği'!F109="","",'1-Turizm Rehberliği'!F109))</f>
        <v/>
      </c>
      <c r="I112" s="28" t="str">
        <f aca="false">IF($A112="","",IF('1-Turizm Rehberliği'!G109="","",'1-Turizm Rehberliği'!G109))</f>
        <v/>
      </c>
      <c r="J112" s="28" t="str">
        <f aca="false">IF($A112="","",IF('1-Turizm Rehberliği'!H109="","",'1-Turizm Rehberliği'!H109))</f>
        <v/>
      </c>
      <c r="K112" s="28" t="str">
        <f aca="false">IF($A112="","",IF('1-Turizm Rehberliği'!I109="","",'1-Turizm Rehberliği'!I109))</f>
        <v/>
      </c>
      <c r="L112" s="28" t="str">
        <f aca="false">IF($I112="","",MATCH($I112,{"08.00";"09.00";"10.00";"11.00";"12.00";"13.00";"14.00";"15.00";"16.00";"17.00"},0))</f>
        <v/>
      </c>
      <c r="M112" s="28" t="str">
        <f aca="false">IF(OR($L112="",$J112=""),"",$L112+$J112-1)</f>
        <v/>
      </c>
      <c r="N112" s="28" t="str">
        <f aca="false">IF($A112="","",IF(OR($L112="",$M112=""),"",IF($M112&gt;10,"⚠ Saat Taşıyor","")))</f>
        <v/>
      </c>
      <c r="O112" s="28" t="str">
        <f aca="false">IF($A112="","",IF(OR($G112="",$H112="",$L112=""),"",IF(SUMPRODUCT(($A$7:$A$606&lt;&gt;"")*($G$7:$G$606=$G112)*($H$7:$H$606=$H112)*(ROW($A$7:$A$606)&lt;&gt;112)*($L$7:$L$606&lt;=$M112)*($M$7:$M$606&gt;=$L112))&gt;0,"⚠ Çakışma","OK")))</f>
        <v/>
      </c>
      <c r="P112" s="28" t="str">
        <f aca="false">IF($A112="","",IF(OR($K112="",$H112="",$L112=""),"",IF(SUMPRODUCT(($A$7:$A$606&lt;&gt;"")*($K$7:$K$606=$K112)*($H$7:$H$606=$H112)*(ROW($A$7:$A$606)&lt;&gt;112)*($L$7:$L$606&lt;=$M112)*($M$7:$M$606&gt;=$L112))&gt;0,"⚠ Çakışma","OK")))</f>
        <v/>
      </c>
      <c r="Q112" s="28" t="str">
        <f aca="false">IF($A112="","",IF(OR($E112="",$H112="",$L112=""),"",IF(SUMPRODUCT(($A$7:$A$606&lt;&gt;"")*($E$7:$E$606=$E112)*($H$7:$H$606=$H112)*(ROW($A$7:$A$606)&lt;&gt;112)*($L$7:$L$606&lt;=$M112)*($M$7:$M$606&gt;=$L112))&gt;0,"⚠ Çakışma","OK")))</f>
        <v/>
      </c>
      <c r="R112" s="28" t="str">
        <f aca="false">IF($A112="","",IF(OR($N112&lt;&gt;"",$O112="⚠ Çakışma",$P112="⚠ Çakışma",$Q112="⚠ Çakışma"),"⚠ Kontrol Et","✓ Uygun"))</f>
        <v/>
      </c>
    </row>
    <row r="113" customFormat="false" ht="13.5" hidden="false" customHeight="true" outlineLevel="0" collapsed="false">
      <c r="A113" s="28" t="str">
        <f aca="false">IF('1-Turizm Rehberliği'!A110="","","Turizm Rehberliği")</f>
        <v/>
      </c>
      <c r="B113" s="28" t="str">
        <f aca="false">IF($A113="","",IF('1-Turizm Rehberliği'!A110="","",'1-Turizm Rehberliği'!A110))</f>
        <v/>
      </c>
      <c r="C113" s="29" t="str">
        <f aca="false">IF($A113="","",IF('1-Turizm Rehberliği'!B110="","",'1-Turizm Rehberliği'!B110))</f>
        <v/>
      </c>
      <c r="D113" s="28" t="str">
        <f aca="false">IF($A113="","",IF('1-Turizm Rehberliği'!C110="","",'1-Turizm Rehberliği'!C110))</f>
        <v/>
      </c>
      <c r="E113" s="28" t="str">
        <f aca="false">IF($A113="","",$A113&amp;"-"&amp;$D113)</f>
        <v/>
      </c>
      <c r="F113" s="28" t="str">
        <f aca="false">IF($A113="","",IF('1-Turizm Rehberliği'!D110="","",'1-Turizm Rehberliği'!D110))</f>
        <v/>
      </c>
      <c r="G113" s="28" t="str">
        <f aca="false">IF($A113="","",IF('1-Turizm Rehberliği'!E110="","",'1-Turizm Rehberliği'!E110))</f>
        <v/>
      </c>
      <c r="H113" s="28" t="str">
        <f aca="false">IF($A113="","",IF('1-Turizm Rehberliği'!F110="","",'1-Turizm Rehberliği'!F110))</f>
        <v/>
      </c>
      <c r="I113" s="28" t="str">
        <f aca="false">IF($A113="","",IF('1-Turizm Rehberliği'!G110="","",'1-Turizm Rehberliği'!G110))</f>
        <v/>
      </c>
      <c r="J113" s="28" t="str">
        <f aca="false">IF($A113="","",IF('1-Turizm Rehberliği'!H110="","",'1-Turizm Rehberliği'!H110))</f>
        <v/>
      </c>
      <c r="K113" s="28" t="str">
        <f aca="false">IF($A113="","",IF('1-Turizm Rehberliği'!I110="","",'1-Turizm Rehberliği'!I110))</f>
        <v/>
      </c>
      <c r="L113" s="28" t="str">
        <f aca="false">IF($I113="","",MATCH($I113,{"08.00";"09.00";"10.00";"11.00";"12.00";"13.00";"14.00";"15.00";"16.00";"17.00"},0))</f>
        <v/>
      </c>
      <c r="M113" s="28" t="str">
        <f aca="false">IF(OR($L113="",$J113=""),"",$L113+$J113-1)</f>
        <v/>
      </c>
      <c r="N113" s="28" t="str">
        <f aca="false">IF($A113="","",IF(OR($L113="",$M113=""),"",IF($M113&gt;10,"⚠ Saat Taşıyor","")))</f>
        <v/>
      </c>
      <c r="O113" s="28" t="str">
        <f aca="false">IF($A113="","",IF(OR($G113="",$H113="",$L113=""),"",IF(SUMPRODUCT(($A$7:$A$606&lt;&gt;"")*($G$7:$G$606=$G113)*($H$7:$H$606=$H113)*(ROW($A$7:$A$606)&lt;&gt;113)*($L$7:$L$606&lt;=$M113)*($M$7:$M$606&gt;=$L113))&gt;0,"⚠ Çakışma","OK")))</f>
        <v/>
      </c>
      <c r="P113" s="28" t="str">
        <f aca="false">IF($A113="","",IF(OR($K113="",$H113="",$L113=""),"",IF(SUMPRODUCT(($A$7:$A$606&lt;&gt;"")*($K$7:$K$606=$K113)*($H$7:$H$606=$H113)*(ROW($A$7:$A$606)&lt;&gt;113)*($L$7:$L$606&lt;=$M113)*($M$7:$M$606&gt;=$L113))&gt;0,"⚠ Çakışma","OK")))</f>
        <v/>
      </c>
      <c r="Q113" s="28" t="str">
        <f aca="false">IF($A113="","",IF(OR($E113="",$H113="",$L113=""),"",IF(SUMPRODUCT(($A$7:$A$606&lt;&gt;"")*($E$7:$E$606=$E113)*($H$7:$H$606=$H113)*(ROW($A$7:$A$606)&lt;&gt;113)*($L$7:$L$606&lt;=$M113)*($M$7:$M$606&gt;=$L113))&gt;0,"⚠ Çakışma","OK")))</f>
        <v/>
      </c>
      <c r="R113" s="28" t="str">
        <f aca="false">IF($A113="","",IF(OR($N113&lt;&gt;"",$O113="⚠ Çakışma",$P113="⚠ Çakışma",$Q113="⚠ Çakışma"),"⚠ Kontrol Et","✓ Uygun"))</f>
        <v/>
      </c>
    </row>
    <row r="114" customFormat="false" ht="13.5" hidden="false" customHeight="true" outlineLevel="0" collapsed="false">
      <c r="A114" s="28" t="str">
        <f aca="false">IF('1-Turizm Rehberliği'!A111="","","Turizm Rehberliği")</f>
        <v/>
      </c>
      <c r="B114" s="28" t="str">
        <f aca="false">IF($A114="","",IF('1-Turizm Rehberliği'!A111="","",'1-Turizm Rehberliği'!A111))</f>
        <v/>
      </c>
      <c r="C114" s="29" t="str">
        <f aca="false">IF($A114="","",IF('1-Turizm Rehberliği'!B111="","",'1-Turizm Rehberliği'!B111))</f>
        <v/>
      </c>
      <c r="D114" s="28" t="str">
        <f aca="false">IF($A114="","",IF('1-Turizm Rehberliği'!C111="","",'1-Turizm Rehberliği'!C111))</f>
        <v/>
      </c>
      <c r="E114" s="28" t="str">
        <f aca="false">IF($A114="","",$A114&amp;"-"&amp;$D114)</f>
        <v/>
      </c>
      <c r="F114" s="28" t="str">
        <f aca="false">IF($A114="","",IF('1-Turizm Rehberliği'!D111="","",'1-Turizm Rehberliği'!D111))</f>
        <v/>
      </c>
      <c r="G114" s="28" t="str">
        <f aca="false">IF($A114="","",IF('1-Turizm Rehberliği'!E111="","",'1-Turizm Rehberliği'!E111))</f>
        <v/>
      </c>
      <c r="H114" s="28" t="str">
        <f aca="false">IF($A114="","",IF('1-Turizm Rehberliği'!F111="","",'1-Turizm Rehberliği'!F111))</f>
        <v/>
      </c>
      <c r="I114" s="28" t="str">
        <f aca="false">IF($A114="","",IF('1-Turizm Rehberliği'!G111="","",'1-Turizm Rehberliği'!G111))</f>
        <v/>
      </c>
      <c r="J114" s="28" t="str">
        <f aca="false">IF($A114="","",IF('1-Turizm Rehberliği'!H111="","",'1-Turizm Rehberliği'!H111))</f>
        <v/>
      </c>
      <c r="K114" s="28" t="str">
        <f aca="false">IF($A114="","",IF('1-Turizm Rehberliği'!I111="","",'1-Turizm Rehberliği'!I111))</f>
        <v/>
      </c>
      <c r="L114" s="28" t="str">
        <f aca="false">IF($I114="","",MATCH($I114,{"08.00";"09.00";"10.00";"11.00";"12.00";"13.00";"14.00";"15.00";"16.00";"17.00"},0))</f>
        <v/>
      </c>
      <c r="M114" s="28" t="str">
        <f aca="false">IF(OR($L114="",$J114=""),"",$L114+$J114-1)</f>
        <v/>
      </c>
      <c r="N114" s="28" t="str">
        <f aca="false">IF($A114="","",IF(OR($L114="",$M114=""),"",IF($M114&gt;10,"⚠ Saat Taşıyor","")))</f>
        <v/>
      </c>
      <c r="O114" s="28" t="str">
        <f aca="false">IF($A114="","",IF(OR($G114="",$H114="",$L114=""),"",IF(SUMPRODUCT(($A$7:$A$606&lt;&gt;"")*($G$7:$G$606=$G114)*($H$7:$H$606=$H114)*(ROW($A$7:$A$606)&lt;&gt;114)*($L$7:$L$606&lt;=$M114)*($M$7:$M$606&gt;=$L114))&gt;0,"⚠ Çakışma","OK")))</f>
        <v/>
      </c>
      <c r="P114" s="28" t="str">
        <f aca="false">IF($A114="","",IF(OR($K114="",$H114="",$L114=""),"",IF(SUMPRODUCT(($A$7:$A$606&lt;&gt;"")*($K$7:$K$606=$K114)*($H$7:$H$606=$H114)*(ROW($A$7:$A$606)&lt;&gt;114)*($L$7:$L$606&lt;=$M114)*($M$7:$M$606&gt;=$L114))&gt;0,"⚠ Çakışma","OK")))</f>
        <v/>
      </c>
      <c r="Q114" s="28" t="str">
        <f aca="false">IF($A114="","",IF(OR($E114="",$H114="",$L114=""),"",IF(SUMPRODUCT(($A$7:$A$606&lt;&gt;"")*($E$7:$E$606=$E114)*($H$7:$H$606=$H114)*(ROW($A$7:$A$606)&lt;&gt;114)*($L$7:$L$606&lt;=$M114)*($M$7:$M$606&gt;=$L114))&gt;0,"⚠ Çakışma","OK")))</f>
        <v/>
      </c>
      <c r="R114" s="28" t="str">
        <f aca="false">IF($A114="","",IF(OR($N114&lt;&gt;"",$O114="⚠ Çakışma",$P114="⚠ Çakışma",$Q114="⚠ Çakışma"),"⚠ Kontrol Et","✓ Uygun"))</f>
        <v/>
      </c>
    </row>
    <row r="115" customFormat="false" ht="13.5" hidden="false" customHeight="true" outlineLevel="0" collapsed="false">
      <c r="A115" s="28" t="str">
        <f aca="false">IF('1-Turizm Rehberliği'!A112="","","Turizm Rehberliği")</f>
        <v/>
      </c>
      <c r="B115" s="28" t="str">
        <f aca="false">IF($A115="","",IF('1-Turizm Rehberliği'!A112="","",'1-Turizm Rehberliği'!A112))</f>
        <v/>
      </c>
      <c r="C115" s="29" t="str">
        <f aca="false">IF($A115="","",IF('1-Turizm Rehberliği'!B112="","",'1-Turizm Rehberliği'!B112))</f>
        <v/>
      </c>
      <c r="D115" s="28" t="str">
        <f aca="false">IF($A115="","",IF('1-Turizm Rehberliği'!C112="","",'1-Turizm Rehberliği'!C112))</f>
        <v/>
      </c>
      <c r="E115" s="28" t="str">
        <f aca="false">IF($A115="","",$A115&amp;"-"&amp;$D115)</f>
        <v/>
      </c>
      <c r="F115" s="28" t="str">
        <f aca="false">IF($A115="","",IF('1-Turizm Rehberliği'!D112="","",'1-Turizm Rehberliği'!D112))</f>
        <v/>
      </c>
      <c r="G115" s="28" t="str">
        <f aca="false">IF($A115="","",IF('1-Turizm Rehberliği'!E112="","",'1-Turizm Rehberliği'!E112))</f>
        <v/>
      </c>
      <c r="H115" s="28" t="str">
        <f aca="false">IF($A115="","",IF('1-Turizm Rehberliği'!F112="","",'1-Turizm Rehberliği'!F112))</f>
        <v/>
      </c>
      <c r="I115" s="28" t="str">
        <f aca="false">IF($A115="","",IF('1-Turizm Rehberliği'!G112="","",'1-Turizm Rehberliği'!G112))</f>
        <v/>
      </c>
      <c r="J115" s="28" t="str">
        <f aca="false">IF($A115="","",IF('1-Turizm Rehberliği'!H112="","",'1-Turizm Rehberliği'!H112))</f>
        <v/>
      </c>
      <c r="K115" s="28" t="str">
        <f aca="false">IF($A115="","",IF('1-Turizm Rehberliği'!I112="","",'1-Turizm Rehberliği'!I112))</f>
        <v/>
      </c>
      <c r="L115" s="28" t="str">
        <f aca="false">IF($I115="","",MATCH($I115,{"08.00";"09.00";"10.00";"11.00";"12.00";"13.00";"14.00";"15.00";"16.00";"17.00"},0))</f>
        <v/>
      </c>
      <c r="M115" s="28" t="str">
        <f aca="false">IF(OR($L115="",$J115=""),"",$L115+$J115-1)</f>
        <v/>
      </c>
      <c r="N115" s="28" t="str">
        <f aca="false">IF($A115="","",IF(OR($L115="",$M115=""),"",IF($M115&gt;10,"⚠ Saat Taşıyor","")))</f>
        <v/>
      </c>
      <c r="O115" s="28" t="str">
        <f aca="false">IF($A115="","",IF(OR($G115="",$H115="",$L115=""),"",IF(SUMPRODUCT(($A$7:$A$606&lt;&gt;"")*($G$7:$G$606=$G115)*($H$7:$H$606=$H115)*(ROW($A$7:$A$606)&lt;&gt;115)*($L$7:$L$606&lt;=$M115)*($M$7:$M$606&gt;=$L115))&gt;0,"⚠ Çakışma","OK")))</f>
        <v/>
      </c>
      <c r="P115" s="28" t="str">
        <f aca="false">IF($A115="","",IF(OR($K115="",$H115="",$L115=""),"",IF(SUMPRODUCT(($A$7:$A$606&lt;&gt;"")*($K$7:$K$606=$K115)*($H$7:$H$606=$H115)*(ROW($A$7:$A$606)&lt;&gt;115)*($L$7:$L$606&lt;=$M115)*($M$7:$M$606&gt;=$L115))&gt;0,"⚠ Çakışma","OK")))</f>
        <v/>
      </c>
      <c r="Q115" s="28" t="str">
        <f aca="false">IF($A115="","",IF(OR($E115="",$H115="",$L115=""),"",IF(SUMPRODUCT(($A$7:$A$606&lt;&gt;"")*($E$7:$E$606=$E115)*($H$7:$H$606=$H115)*(ROW($A$7:$A$606)&lt;&gt;115)*($L$7:$L$606&lt;=$M115)*($M$7:$M$606&gt;=$L115))&gt;0,"⚠ Çakışma","OK")))</f>
        <v/>
      </c>
      <c r="R115" s="28" t="str">
        <f aca="false">IF($A115="","",IF(OR($N115&lt;&gt;"",$O115="⚠ Çakışma",$P115="⚠ Çakışma",$Q115="⚠ Çakışma"),"⚠ Kontrol Et","✓ Uygun"))</f>
        <v/>
      </c>
    </row>
    <row r="116" customFormat="false" ht="13.5" hidden="false" customHeight="true" outlineLevel="0" collapsed="false">
      <c r="A116" s="28" t="str">
        <f aca="false">IF('1-Turizm Rehberliği'!A113="","","Turizm Rehberliği")</f>
        <v/>
      </c>
      <c r="B116" s="28" t="str">
        <f aca="false">IF($A116="","",IF('1-Turizm Rehberliği'!A113="","",'1-Turizm Rehberliği'!A113))</f>
        <v/>
      </c>
      <c r="C116" s="29" t="str">
        <f aca="false">IF($A116="","",IF('1-Turizm Rehberliği'!B113="","",'1-Turizm Rehberliği'!B113))</f>
        <v/>
      </c>
      <c r="D116" s="28" t="str">
        <f aca="false">IF($A116="","",IF('1-Turizm Rehberliği'!C113="","",'1-Turizm Rehberliği'!C113))</f>
        <v/>
      </c>
      <c r="E116" s="28" t="str">
        <f aca="false">IF($A116="","",$A116&amp;"-"&amp;$D116)</f>
        <v/>
      </c>
      <c r="F116" s="28" t="str">
        <f aca="false">IF($A116="","",IF('1-Turizm Rehberliği'!D113="","",'1-Turizm Rehberliği'!D113))</f>
        <v/>
      </c>
      <c r="G116" s="28" t="str">
        <f aca="false">IF($A116="","",IF('1-Turizm Rehberliği'!E113="","",'1-Turizm Rehberliği'!E113))</f>
        <v/>
      </c>
      <c r="H116" s="28" t="str">
        <f aca="false">IF($A116="","",IF('1-Turizm Rehberliği'!F113="","",'1-Turizm Rehberliği'!F113))</f>
        <v/>
      </c>
      <c r="I116" s="28" t="str">
        <f aca="false">IF($A116="","",IF('1-Turizm Rehberliği'!G113="","",'1-Turizm Rehberliği'!G113))</f>
        <v/>
      </c>
      <c r="J116" s="28" t="str">
        <f aca="false">IF($A116="","",IF('1-Turizm Rehberliği'!H113="","",'1-Turizm Rehberliği'!H113))</f>
        <v/>
      </c>
      <c r="K116" s="28" t="str">
        <f aca="false">IF($A116="","",IF('1-Turizm Rehberliği'!I113="","",'1-Turizm Rehberliği'!I113))</f>
        <v/>
      </c>
      <c r="L116" s="28" t="str">
        <f aca="false">IF($I116="","",MATCH($I116,{"08.00";"09.00";"10.00";"11.00";"12.00";"13.00";"14.00";"15.00";"16.00";"17.00"},0))</f>
        <v/>
      </c>
      <c r="M116" s="28" t="str">
        <f aca="false">IF(OR($L116="",$J116=""),"",$L116+$J116-1)</f>
        <v/>
      </c>
      <c r="N116" s="28" t="str">
        <f aca="false">IF($A116="","",IF(OR($L116="",$M116=""),"",IF($M116&gt;10,"⚠ Saat Taşıyor","")))</f>
        <v/>
      </c>
      <c r="O116" s="28" t="str">
        <f aca="false">IF($A116="","",IF(OR($G116="",$H116="",$L116=""),"",IF(SUMPRODUCT(($A$7:$A$606&lt;&gt;"")*($G$7:$G$606=$G116)*($H$7:$H$606=$H116)*(ROW($A$7:$A$606)&lt;&gt;116)*($L$7:$L$606&lt;=$M116)*($M$7:$M$606&gt;=$L116))&gt;0,"⚠ Çakışma","OK")))</f>
        <v/>
      </c>
      <c r="P116" s="28" t="str">
        <f aca="false">IF($A116="","",IF(OR($K116="",$H116="",$L116=""),"",IF(SUMPRODUCT(($A$7:$A$606&lt;&gt;"")*($K$7:$K$606=$K116)*($H$7:$H$606=$H116)*(ROW($A$7:$A$606)&lt;&gt;116)*($L$7:$L$606&lt;=$M116)*($M$7:$M$606&gt;=$L116))&gt;0,"⚠ Çakışma","OK")))</f>
        <v/>
      </c>
      <c r="Q116" s="28" t="str">
        <f aca="false">IF($A116="","",IF(OR($E116="",$H116="",$L116=""),"",IF(SUMPRODUCT(($A$7:$A$606&lt;&gt;"")*($E$7:$E$606=$E116)*($H$7:$H$606=$H116)*(ROW($A$7:$A$606)&lt;&gt;116)*($L$7:$L$606&lt;=$M116)*($M$7:$M$606&gt;=$L116))&gt;0,"⚠ Çakışma","OK")))</f>
        <v/>
      </c>
      <c r="R116" s="28" t="str">
        <f aca="false">IF($A116="","",IF(OR($N116&lt;&gt;"",$O116="⚠ Çakışma",$P116="⚠ Çakışma",$Q116="⚠ Çakışma"),"⚠ Kontrol Et","✓ Uygun"))</f>
        <v/>
      </c>
    </row>
    <row r="117" customFormat="false" ht="13.5" hidden="false" customHeight="true" outlineLevel="0" collapsed="false">
      <c r="A117" s="28" t="str">
        <f aca="false">IF('1-Turizm Rehberliği'!A114="","","Turizm Rehberliği")</f>
        <v/>
      </c>
      <c r="B117" s="28" t="str">
        <f aca="false">IF($A117="","",IF('1-Turizm Rehberliği'!A114="","",'1-Turizm Rehberliği'!A114))</f>
        <v/>
      </c>
      <c r="C117" s="29" t="str">
        <f aca="false">IF($A117="","",IF('1-Turizm Rehberliği'!B114="","",'1-Turizm Rehberliği'!B114))</f>
        <v/>
      </c>
      <c r="D117" s="28" t="str">
        <f aca="false">IF($A117="","",IF('1-Turizm Rehberliği'!C114="","",'1-Turizm Rehberliği'!C114))</f>
        <v/>
      </c>
      <c r="E117" s="28" t="str">
        <f aca="false">IF($A117="","",$A117&amp;"-"&amp;$D117)</f>
        <v/>
      </c>
      <c r="F117" s="28" t="str">
        <f aca="false">IF($A117="","",IF('1-Turizm Rehberliği'!D114="","",'1-Turizm Rehberliği'!D114))</f>
        <v/>
      </c>
      <c r="G117" s="28" t="str">
        <f aca="false">IF($A117="","",IF('1-Turizm Rehberliği'!E114="","",'1-Turizm Rehberliği'!E114))</f>
        <v/>
      </c>
      <c r="H117" s="28" t="str">
        <f aca="false">IF($A117="","",IF('1-Turizm Rehberliği'!F114="","",'1-Turizm Rehberliği'!F114))</f>
        <v/>
      </c>
      <c r="I117" s="28" t="str">
        <f aca="false">IF($A117="","",IF('1-Turizm Rehberliği'!G114="","",'1-Turizm Rehberliği'!G114))</f>
        <v/>
      </c>
      <c r="J117" s="28" t="str">
        <f aca="false">IF($A117="","",IF('1-Turizm Rehberliği'!H114="","",'1-Turizm Rehberliği'!H114))</f>
        <v/>
      </c>
      <c r="K117" s="28" t="str">
        <f aca="false">IF($A117="","",IF('1-Turizm Rehberliği'!I114="","",'1-Turizm Rehberliği'!I114))</f>
        <v/>
      </c>
      <c r="L117" s="28" t="str">
        <f aca="false">IF($I117="","",MATCH($I117,{"08.00";"09.00";"10.00";"11.00";"12.00";"13.00";"14.00";"15.00";"16.00";"17.00"},0))</f>
        <v/>
      </c>
      <c r="M117" s="28" t="str">
        <f aca="false">IF(OR($L117="",$J117=""),"",$L117+$J117-1)</f>
        <v/>
      </c>
      <c r="N117" s="28" t="str">
        <f aca="false">IF($A117="","",IF(OR($L117="",$M117=""),"",IF($M117&gt;10,"⚠ Saat Taşıyor","")))</f>
        <v/>
      </c>
      <c r="O117" s="28" t="str">
        <f aca="false">IF($A117="","",IF(OR($G117="",$H117="",$L117=""),"",IF(SUMPRODUCT(($A$7:$A$606&lt;&gt;"")*($G$7:$G$606=$G117)*($H$7:$H$606=$H117)*(ROW($A$7:$A$606)&lt;&gt;117)*($L$7:$L$606&lt;=$M117)*($M$7:$M$606&gt;=$L117))&gt;0,"⚠ Çakışma","OK")))</f>
        <v/>
      </c>
      <c r="P117" s="28" t="str">
        <f aca="false">IF($A117="","",IF(OR($K117="",$H117="",$L117=""),"",IF(SUMPRODUCT(($A$7:$A$606&lt;&gt;"")*($K$7:$K$606=$K117)*($H$7:$H$606=$H117)*(ROW($A$7:$A$606)&lt;&gt;117)*($L$7:$L$606&lt;=$M117)*($M$7:$M$606&gt;=$L117))&gt;0,"⚠ Çakışma","OK")))</f>
        <v/>
      </c>
      <c r="Q117" s="28" t="str">
        <f aca="false">IF($A117="","",IF(OR($E117="",$H117="",$L117=""),"",IF(SUMPRODUCT(($A$7:$A$606&lt;&gt;"")*($E$7:$E$606=$E117)*($H$7:$H$606=$H117)*(ROW($A$7:$A$606)&lt;&gt;117)*($L$7:$L$606&lt;=$M117)*($M$7:$M$606&gt;=$L117))&gt;0,"⚠ Çakışma","OK")))</f>
        <v/>
      </c>
      <c r="R117" s="28" t="str">
        <f aca="false">IF($A117="","",IF(OR($N117&lt;&gt;"",$O117="⚠ Çakışma",$P117="⚠ Çakışma",$Q117="⚠ Çakışma"),"⚠ Kontrol Et","✓ Uygun"))</f>
        <v/>
      </c>
    </row>
    <row r="118" customFormat="false" ht="13.5" hidden="false" customHeight="true" outlineLevel="0" collapsed="false">
      <c r="A118" s="28" t="str">
        <f aca="false">IF('1-Turizm Rehberliği'!A115="","","Turizm Rehberliği")</f>
        <v/>
      </c>
      <c r="B118" s="28" t="str">
        <f aca="false">IF($A118="","",IF('1-Turizm Rehberliği'!A115="","",'1-Turizm Rehberliği'!A115))</f>
        <v/>
      </c>
      <c r="C118" s="29" t="str">
        <f aca="false">IF($A118="","",IF('1-Turizm Rehberliği'!B115="","",'1-Turizm Rehberliği'!B115))</f>
        <v/>
      </c>
      <c r="D118" s="28" t="str">
        <f aca="false">IF($A118="","",IF('1-Turizm Rehberliği'!C115="","",'1-Turizm Rehberliği'!C115))</f>
        <v/>
      </c>
      <c r="E118" s="28" t="str">
        <f aca="false">IF($A118="","",$A118&amp;"-"&amp;$D118)</f>
        <v/>
      </c>
      <c r="F118" s="28" t="str">
        <f aca="false">IF($A118="","",IF('1-Turizm Rehberliği'!D115="","",'1-Turizm Rehberliği'!D115))</f>
        <v/>
      </c>
      <c r="G118" s="28" t="str">
        <f aca="false">IF($A118="","",IF('1-Turizm Rehberliği'!E115="","",'1-Turizm Rehberliği'!E115))</f>
        <v/>
      </c>
      <c r="H118" s="28" t="str">
        <f aca="false">IF($A118="","",IF('1-Turizm Rehberliği'!F115="","",'1-Turizm Rehberliği'!F115))</f>
        <v/>
      </c>
      <c r="I118" s="28" t="str">
        <f aca="false">IF($A118="","",IF('1-Turizm Rehberliği'!G115="","",'1-Turizm Rehberliği'!G115))</f>
        <v/>
      </c>
      <c r="J118" s="28" t="str">
        <f aca="false">IF($A118="","",IF('1-Turizm Rehberliği'!H115="","",'1-Turizm Rehberliği'!H115))</f>
        <v/>
      </c>
      <c r="K118" s="28" t="str">
        <f aca="false">IF($A118="","",IF('1-Turizm Rehberliği'!I115="","",'1-Turizm Rehberliği'!I115))</f>
        <v/>
      </c>
      <c r="L118" s="28" t="str">
        <f aca="false">IF($I118="","",MATCH($I118,{"08.00";"09.00";"10.00";"11.00";"12.00";"13.00";"14.00";"15.00";"16.00";"17.00"},0))</f>
        <v/>
      </c>
      <c r="M118" s="28" t="str">
        <f aca="false">IF(OR($L118="",$J118=""),"",$L118+$J118-1)</f>
        <v/>
      </c>
      <c r="N118" s="28" t="str">
        <f aca="false">IF($A118="","",IF(OR($L118="",$M118=""),"",IF($M118&gt;10,"⚠ Saat Taşıyor","")))</f>
        <v/>
      </c>
      <c r="O118" s="28" t="str">
        <f aca="false">IF($A118="","",IF(OR($G118="",$H118="",$L118=""),"",IF(SUMPRODUCT(($A$7:$A$606&lt;&gt;"")*($G$7:$G$606=$G118)*($H$7:$H$606=$H118)*(ROW($A$7:$A$606)&lt;&gt;118)*($L$7:$L$606&lt;=$M118)*($M$7:$M$606&gt;=$L118))&gt;0,"⚠ Çakışma","OK")))</f>
        <v/>
      </c>
      <c r="P118" s="28" t="str">
        <f aca="false">IF($A118="","",IF(OR($K118="",$H118="",$L118=""),"",IF(SUMPRODUCT(($A$7:$A$606&lt;&gt;"")*($K$7:$K$606=$K118)*($H$7:$H$606=$H118)*(ROW($A$7:$A$606)&lt;&gt;118)*($L$7:$L$606&lt;=$M118)*($M$7:$M$606&gt;=$L118))&gt;0,"⚠ Çakışma","OK")))</f>
        <v/>
      </c>
      <c r="Q118" s="28" t="str">
        <f aca="false">IF($A118="","",IF(OR($E118="",$H118="",$L118=""),"",IF(SUMPRODUCT(($A$7:$A$606&lt;&gt;"")*($E$7:$E$606=$E118)*($H$7:$H$606=$H118)*(ROW($A$7:$A$606)&lt;&gt;118)*($L$7:$L$606&lt;=$M118)*($M$7:$M$606&gt;=$L118))&gt;0,"⚠ Çakışma","OK")))</f>
        <v/>
      </c>
      <c r="R118" s="28" t="str">
        <f aca="false">IF($A118="","",IF(OR($N118&lt;&gt;"",$O118="⚠ Çakışma",$P118="⚠ Çakışma",$Q118="⚠ Çakışma"),"⚠ Kontrol Et","✓ Uygun"))</f>
        <v/>
      </c>
    </row>
    <row r="119" customFormat="false" ht="13.5" hidden="false" customHeight="true" outlineLevel="0" collapsed="false">
      <c r="A119" s="28" t="str">
        <f aca="false">IF('1-Turizm Rehberliği'!A116="","","Turizm Rehberliği")</f>
        <v/>
      </c>
      <c r="B119" s="28" t="str">
        <f aca="false">IF($A119="","",IF('1-Turizm Rehberliği'!A116="","",'1-Turizm Rehberliği'!A116))</f>
        <v/>
      </c>
      <c r="C119" s="29" t="str">
        <f aca="false">IF($A119="","",IF('1-Turizm Rehberliği'!B116="","",'1-Turizm Rehberliği'!B116))</f>
        <v/>
      </c>
      <c r="D119" s="28" t="str">
        <f aca="false">IF($A119="","",IF('1-Turizm Rehberliği'!C116="","",'1-Turizm Rehberliği'!C116))</f>
        <v/>
      </c>
      <c r="E119" s="28" t="str">
        <f aca="false">IF($A119="","",$A119&amp;"-"&amp;$D119)</f>
        <v/>
      </c>
      <c r="F119" s="28" t="str">
        <f aca="false">IF($A119="","",IF('1-Turizm Rehberliği'!D116="","",'1-Turizm Rehberliği'!D116))</f>
        <v/>
      </c>
      <c r="G119" s="28" t="str">
        <f aca="false">IF($A119="","",IF('1-Turizm Rehberliği'!E116="","",'1-Turizm Rehberliği'!E116))</f>
        <v/>
      </c>
      <c r="H119" s="28" t="str">
        <f aca="false">IF($A119="","",IF('1-Turizm Rehberliği'!F116="","",'1-Turizm Rehberliği'!F116))</f>
        <v/>
      </c>
      <c r="I119" s="28" t="str">
        <f aca="false">IF($A119="","",IF('1-Turizm Rehberliği'!G116="","",'1-Turizm Rehberliği'!G116))</f>
        <v/>
      </c>
      <c r="J119" s="28" t="str">
        <f aca="false">IF($A119="","",IF('1-Turizm Rehberliği'!H116="","",'1-Turizm Rehberliği'!H116))</f>
        <v/>
      </c>
      <c r="K119" s="28" t="str">
        <f aca="false">IF($A119="","",IF('1-Turizm Rehberliği'!I116="","",'1-Turizm Rehberliği'!I116))</f>
        <v/>
      </c>
      <c r="L119" s="28" t="str">
        <f aca="false">IF($I119="","",MATCH($I119,{"08.00";"09.00";"10.00";"11.00";"12.00";"13.00";"14.00";"15.00";"16.00";"17.00"},0))</f>
        <v/>
      </c>
      <c r="M119" s="28" t="str">
        <f aca="false">IF(OR($L119="",$J119=""),"",$L119+$J119-1)</f>
        <v/>
      </c>
      <c r="N119" s="28" t="str">
        <f aca="false">IF($A119="","",IF(OR($L119="",$M119=""),"",IF($M119&gt;10,"⚠ Saat Taşıyor","")))</f>
        <v/>
      </c>
      <c r="O119" s="28" t="str">
        <f aca="false">IF($A119="","",IF(OR($G119="",$H119="",$L119=""),"",IF(SUMPRODUCT(($A$7:$A$606&lt;&gt;"")*($G$7:$G$606=$G119)*($H$7:$H$606=$H119)*(ROW($A$7:$A$606)&lt;&gt;119)*($L$7:$L$606&lt;=$M119)*($M$7:$M$606&gt;=$L119))&gt;0,"⚠ Çakışma","OK")))</f>
        <v/>
      </c>
      <c r="P119" s="28" t="str">
        <f aca="false">IF($A119="","",IF(OR($K119="",$H119="",$L119=""),"",IF(SUMPRODUCT(($A$7:$A$606&lt;&gt;"")*($K$7:$K$606=$K119)*($H$7:$H$606=$H119)*(ROW($A$7:$A$606)&lt;&gt;119)*($L$7:$L$606&lt;=$M119)*($M$7:$M$606&gt;=$L119))&gt;0,"⚠ Çakışma","OK")))</f>
        <v/>
      </c>
      <c r="Q119" s="28" t="str">
        <f aca="false">IF($A119="","",IF(OR($E119="",$H119="",$L119=""),"",IF(SUMPRODUCT(($A$7:$A$606&lt;&gt;"")*($E$7:$E$606=$E119)*($H$7:$H$606=$H119)*(ROW($A$7:$A$606)&lt;&gt;119)*($L$7:$L$606&lt;=$M119)*($M$7:$M$606&gt;=$L119))&gt;0,"⚠ Çakışma","OK")))</f>
        <v/>
      </c>
      <c r="R119" s="28" t="str">
        <f aca="false">IF($A119="","",IF(OR($N119&lt;&gt;"",$O119="⚠ Çakışma",$P119="⚠ Çakışma",$Q119="⚠ Çakışma"),"⚠ Kontrol Et","✓ Uygun"))</f>
        <v/>
      </c>
    </row>
    <row r="120" customFormat="false" ht="13.5" hidden="false" customHeight="true" outlineLevel="0" collapsed="false">
      <c r="A120" s="28" t="str">
        <f aca="false">IF('1-Turizm Rehberliği'!A117="","","Turizm Rehberliği")</f>
        <v/>
      </c>
      <c r="B120" s="28" t="str">
        <f aca="false">IF($A120="","",IF('1-Turizm Rehberliği'!A117="","",'1-Turizm Rehberliği'!A117))</f>
        <v/>
      </c>
      <c r="C120" s="29" t="str">
        <f aca="false">IF($A120="","",IF('1-Turizm Rehberliği'!B117="","",'1-Turizm Rehberliği'!B117))</f>
        <v/>
      </c>
      <c r="D120" s="28" t="str">
        <f aca="false">IF($A120="","",IF('1-Turizm Rehberliği'!C117="","",'1-Turizm Rehberliği'!C117))</f>
        <v/>
      </c>
      <c r="E120" s="28" t="str">
        <f aca="false">IF($A120="","",$A120&amp;"-"&amp;$D120)</f>
        <v/>
      </c>
      <c r="F120" s="28" t="str">
        <f aca="false">IF($A120="","",IF('1-Turizm Rehberliği'!D117="","",'1-Turizm Rehberliği'!D117))</f>
        <v/>
      </c>
      <c r="G120" s="28" t="str">
        <f aca="false">IF($A120="","",IF('1-Turizm Rehberliği'!E117="","",'1-Turizm Rehberliği'!E117))</f>
        <v/>
      </c>
      <c r="H120" s="28" t="str">
        <f aca="false">IF($A120="","",IF('1-Turizm Rehberliği'!F117="","",'1-Turizm Rehberliği'!F117))</f>
        <v/>
      </c>
      <c r="I120" s="28" t="str">
        <f aca="false">IF($A120="","",IF('1-Turizm Rehberliği'!G117="","",'1-Turizm Rehberliği'!G117))</f>
        <v/>
      </c>
      <c r="J120" s="28" t="str">
        <f aca="false">IF($A120="","",IF('1-Turizm Rehberliği'!H117="","",'1-Turizm Rehberliği'!H117))</f>
        <v/>
      </c>
      <c r="K120" s="28" t="str">
        <f aca="false">IF($A120="","",IF('1-Turizm Rehberliği'!I117="","",'1-Turizm Rehberliği'!I117))</f>
        <v/>
      </c>
      <c r="L120" s="28" t="str">
        <f aca="false">IF($I120="","",MATCH($I120,{"08.00";"09.00";"10.00";"11.00";"12.00";"13.00";"14.00";"15.00";"16.00";"17.00"},0))</f>
        <v/>
      </c>
      <c r="M120" s="28" t="str">
        <f aca="false">IF(OR($L120="",$J120=""),"",$L120+$J120-1)</f>
        <v/>
      </c>
      <c r="N120" s="28" t="str">
        <f aca="false">IF($A120="","",IF(OR($L120="",$M120=""),"",IF($M120&gt;10,"⚠ Saat Taşıyor","")))</f>
        <v/>
      </c>
      <c r="O120" s="28" t="str">
        <f aca="false">IF($A120="","",IF(OR($G120="",$H120="",$L120=""),"",IF(SUMPRODUCT(($A$7:$A$606&lt;&gt;"")*($G$7:$G$606=$G120)*($H$7:$H$606=$H120)*(ROW($A$7:$A$606)&lt;&gt;120)*($L$7:$L$606&lt;=$M120)*($M$7:$M$606&gt;=$L120))&gt;0,"⚠ Çakışma","OK")))</f>
        <v/>
      </c>
      <c r="P120" s="28" t="str">
        <f aca="false">IF($A120="","",IF(OR($K120="",$H120="",$L120=""),"",IF(SUMPRODUCT(($A$7:$A$606&lt;&gt;"")*($K$7:$K$606=$K120)*($H$7:$H$606=$H120)*(ROW($A$7:$A$606)&lt;&gt;120)*($L$7:$L$606&lt;=$M120)*($M$7:$M$606&gt;=$L120))&gt;0,"⚠ Çakışma","OK")))</f>
        <v/>
      </c>
      <c r="Q120" s="28" t="str">
        <f aca="false">IF($A120="","",IF(OR($E120="",$H120="",$L120=""),"",IF(SUMPRODUCT(($A$7:$A$606&lt;&gt;"")*($E$7:$E$606=$E120)*($H$7:$H$606=$H120)*(ROW($A$7:$A$606)&lt;&gt;120)*($L$7:$L$606&lt;=$M120)*($M$7:$M$606&gt;=$L120))&gt;0,"⚠ Çakışma","OK")))</f>
        <v/>
      </c>
      <c r="R120" s="28" t="str">
        <f aca="false">IF($A120="","",IF(OR($N120&lt;&gt;"",$O120="⚠ Çakışma",$P120="⚠ Çakışma",$Q120="⚠ Çakışma"),"⚠ Kontrol Et","✓ Uygun"))</f>
        <v/>
      </c>
    </row>
    <row r="121" customFormat="false" ht="13.5" hidden="false" customHeight="true" outlineLevel="0" collapsed="false">
      <c r="A121" s="28" t="str">
        <f aca="false">IF('1-Turizm Rehberliği'!A118="","","Turizm Rehberliği")</f>
        <v/>
      </c>
      <c r="B121" s="28" t="str">
        <f aca="false">IF($A121="","",IF('1-Turizm Rehberliği'!A118="","",'1-Turizm Rehberliği'!A118))</f>
        <v/>
      </c>
      <c r="C121" s="29" t="str">
        <f aca="false">IF($A121="","",IF('1-Turizm Rehberliği'!B118="","",'1-Turizm Rehberliği'!B118))</f>
        <v/>
      </c>
      <c r="D121" s="28" t="str">
        <f aca="false">IF($A121="","",IF('1-Turizm Rehberliği'!C118="","",'1-Turizm Rehberliği'!C118))</f>
        <v/>
      </c>
      <c r="E121" s="28" t="str">
        <f aca="false">IF($A121="","",$A121&amp;"-"&amp;$D121)</f>
        <v/>
      </c>
      <c r="F121" s="28" t="str">
        <f aca="false">IF($A121="","",IF('1-Turizm Rehberliği'!D118="","",'1-Turizm Rehberliği'!D118))</f>
        <v/>
      </c>
      <c r="G121" s="28" t="str">
        <f aca="false">IF($A121="","",IF('1-Turizm Rehberliği'!E118="","",'1-Turizm Rehberliği'!E118))</f>
        <v/>
      </c>
      <c r="H121" s="28" t="str">
        <f aca="false">IF($A121="","",IF('1-Turizm Rehberliği'!F118="","",'1-Turizm Rehberliği'!F118))</f>
        <v/>
      </c>
      <c r="I121" s="28" t="str">
        <f aca="false">IF($A121="","",IF('1-Turizm Rehberliği'!G118="","",'1-Turizm Rehberliği'!G118))</f>
        <v/>
      </c>
      <c r="J121" s="28" t="str">
        <f aca="false">IF($A121="","",IF('1-Turizm Rehberliği'!H118="","",'1-Turizm Rehberliği'!H118))</f>
        <v/>
      </c>
      <c r="K121" s="28" t="str">
        <f aca="false">IF($A121="","",IF('1-Turizm Rehberliği'!I118="","",'1-Turizm Rehberliği'!I118))</f>
        <v/>
      </c>
      <c r="L121" s="28" t="str">
        <f aca="false">IF($I121="","",MATCH($I121,{"08.00";"09.00";"10.00";"11.00";"12.00";"13.00";"14.00";"15.00";"16.00";"17.00"},0))</f>
        <v/>
      </c>
      <c r="M121" s="28" t="str">
        <f aca="false">IF(OR($L121="",$J121=""),"",$L121+$J121-1)</f>
        <v/>
      </c>
      <c r="N121" s="28" t="str">
        <f aca="false">IF($A121="","",IF(OR($L121="",$M121=""),"",IF($M121&gt;10,"⚠ Saat Taşıyor","")))</f>
        <v/>
      </c>
      <c r="O121" s="28" t="str">
        <f aca="false">IF($A121="","",IF(OR($G121="",$H121="",$L121=""),"",IF(SUMPRODUCT(($A$7:$A$606&lt;&gt;"")*($G$7:$G$606=$G121)*($H$7:$H$606=$H121)*(ROW($A$7:$A$606)&lt;&gt;121)*($L$7:$L$606&lt;=$M121)*($M$7:$M$606&gt;=$L121))&gt;0,"⚠ Çakışma","OK")))</f>
        <v/>
      </c>
      <c r="P121" s="28" t="str">
        <f aca="false">IF($A121="","",IF(OR($K121="",$H121="",$L121=""),"",IF(SUMPRODUCT(($A$7:$A$606&lt;&gt;"")*($K$7:$K$606=$K121)*($H$7:$H$606=$H121)*(ROW($A$7:$A$606)&lt;&gt;121)*($L$7:$L$606&lt;=$M121)*($M$7:$M$606&gt;=$L121))&gt;0,"⚠ Çakışma","OK")))</f>
        <v/>
      </c>
      <c r="Q121" s="28" t="str">
        <f aca="false">IF($A121="","",IF(OR($E121="",$H121="",$L121=""),"",IF(SUMPRODUCT(($A$7:$A$606&lt;&gt;"")*($E$7:$E$606=$E121)*($H$7:$H$606=$H121)*(ROW($A$7:$A$606)&lt;&gt;121)*($L$7:$L$606&lt;=$M121)*($M$7:$M$606&gt;=$L121))&gt;0,"⚠ Çakışma","OK")))</f>
        <v/>
      </c>
      <c r="R121" s="28" t="str">
        <f aca="false">IF($A121="","",IF(OR($N121&lt;&gt;"",$O121="⚠ Çakışma",$P121="⚠ Çakışma",$Q121="⚠ Çakışma"),"⚠ Kontrol Et","✓ Uygun"))</f>
        <v/>
      </c>
    </row>
    <row r="122" customFormat="false" ht="13.5" hidden="false" customHeight="true" outlineLevel="0" collapsed="false">
      <c r="A122" s="28" t="str">
        <f aca="false">IF('1-Turizm Rehberliği'!A119="","","Turizm Rehberliği")</f>
        <v/>
      </c>
      <c r="B122" s="28" t="str">
        <f aca="false">IF($A122="","",IF('1-Turizm Rehberliği'!A119="","",'1-Turizm Rehberliği'!A119))</f>
        <v/>
      </c>
      <c r="C122" s="29" t="str">
        <f aca="false">IF($A122="","",IF('1-Turizm Rehberliği'!B119="","",'1-Turizm Rehberliği'!B119))</f>
        <v/>
      </c>
      <c r="D122" s="28" t="str">
        <f aca="false">IF($A122="","",IF('1-Turizm Rehberliği'!C119="","",'1-Turizm Rehberliği'!C119))</f>
        <v/>
      </c>
      <c r="E122" s="28" t="str">
        <f aca="false">IF($A122="","",$A122&amp;"-"&amp;$D122)</f>
        <v/>
      </c>
      <c r="F122" s="28" t="str">
        <f aca="false">IF($A122="","",IF('1-Turizm Rehberliği'!D119="","",'1-Turizm Rehberliği'!D119))</f>
        <v/>
      </c>
      <c r="G122" s="28" t="str">
        <f aca="false">IF($A122="","",IF('1-Turizm Rehberliği'!E119="","",'1-Turizm Rehberliği'!E119))</f>
        <v/>
      </c>
      <c r="H122" s="28" t="str">
        <f aca="false">IF($A122="","",IF('1-Turizm Rehberliği'!F119="","",'1-Turizm Rehberliği'!F119))</f>
        <v/>
      </c>
      <c r="I122" s="28" t="str">
        <f aca="false">IF($A122="","",IF('1-Turizm Rehberliği'!G119="","",'1-Turizm Rehberliği'!G119))</f>
        <v/>
      </c>
      <c r="J122" s="28" t="str">
        <f aca="false">IF($A122="","",IF('1-Turizm Rehberliği'!H119="","",'1-Turizm Rehberliği'!H119))</f>
        <v/>
      </c>
      <c r="K122" s="28" t="str">
        <f aca="false">IF($A122="","",IF('1-Turizm Rehberliği'!I119="","",'1-Turizm Rehberliği'!I119))</f>
        <v/>
      </c>
      <c r="L122" s="28" t="str">
        <f aca="false">IF($I122="","",MATCH($I122,{"08.00";"09.00";"10.00";"11.00";"12.00";"13.00";"14.00";"15.00";"16.00";"17.00"},0))</f>
        <v/>
      </c>
      <c r="M122" s="28" t="str">
        <f aca="false">IF(OR($L122="",$J122=""),"",$L122+$J122-1)</f>
        <v/>
      </c>
      <c r="N122" s="28" t="str">
        <f aca="false">IF($A122="","",IF(OR($L122="",$M122=""),"",IF($M122&gt;10,"⚠ Saat Taşıyor","")))</f>
        <v/>
      </c>
      <c r="O122" s="28" t="str">
        <f aca="false">IF($A122="","",IF(OR($G122="",$H122="",$L122=""),"",IF(SUMPRODUCT(($A$7:$A$606&lt;&gt;"")*($G$7:$G$606=$G122)*($H$7:$H$606=$H122)*(ROW($A$7:$A$606)&lt;&gt;122)*($L$7:$L$606&lt;=$M122)*($M$7:$M$606&gt;=$L122))&gt;0,"⚠ Çakışma","OK")))</f>
        <v/>
      </c>
      <c r="P122" s="28" t="str">
        <f aca="false">IF($A122="","",IF(OR($K122="",$H122="",$L122=""),"",IF(SUMPRODUCT(($A$7:$A$606&lt;&gt;"")*($K$7:$K$606=$K122)*($H$7:$H$606=$H122)*(ROW($A$7:$A$606)&lt;&gt;122)*($L$7:$L$606&lt;=$M122)*($M$7:$M$606&gt;=$L122))&gt;0,"⚠ Çakışma","OK")))</f>
        <v/>
      </c>
      <c r="Q122" s="28" t="str">
        <f aca="false">IF($A122="","",IF(OR($E122="",$H122="",$L122=""),"",IF(SUMPRODUCT(($A$7:$A$606&lt;&gt;"")*($E$7:$E$606=$E122)*($H$7:$H$606=$H122)*(ROW($A$7:$A$606)&lt;&gt;122)*($L$7:$L$606&lt;=$M122)*($M$7:$M$606&gt;=$L122))&gt;0,"⚠ Çakışma","OK")))</f>
        <v/>
      </c>
      <c r="R122" s="28" t="str">
        <f aca="false">IF($A122="","",IF(OR($N122&lt;&gt;"",$O122="⚠ Çakışma",$P122="⚠ Çakışma",$Q122="⚠ Çakışma"),"⚠ Kontrol Et","✓ Uygun"))</f>
        <v/>
      </c>
    </row>
    <row r="123" customFormat="false" ht="13.5" hidden="false" customHeight="true" outlineLevel="0" collapsed="false">
      <c r="A123" s="28" t="str">
        <f aca="false">IF('1-Turizm Rehberliği'!A120="","","Turizm Rehberliği")</f>
        <v/>
      </c>
      <c r="B123" s="28" t="str">
        <f aca="false">IF($A123="","",IF('1-Turizm Rehberliği'!A120="","",'1-Turizm Rehberliği'!A120))</f>
        <v/>
      </c>
      <c r="C123" s="29" t="str">
        <f aca="false">IF($A123="","",IF('1-Turizm Rehberliği'!B120="","",'1-Turizm Rehberliği'!B120))</f>
        <v/>
      </c>
      <c r="D123" s="28" t="str">
        <f aca="false">IF($A123="","",IF('1-Turizm Rehberliği'!C120="","",'1-Turizm Rehberliği'!C120))</f>
        <v/>
      </c>
      <c r="E123" s="28" t="str">
        <f aca="false">IF($A123="","",$A123&amp;"-"&amp;$D123)</f>
        <v/>
      </c>
      <c r="F123" s="28" t="str">
        <f aca="false">IF($A123="","",IF('1-Turizm Rehberliği'!D120="","",'1-Turizm Rehberliği'!D120))</f>
        <v/>
      </c>
      <c r="G123" s="28" t="str">
        <f aca="false">IF($A123="","",IF('1-Turizm Rehberliği'!E120="","",'1-Turizm Rehberliği'!E120))</f>
        <v/>
      </c>
      <c r="H123" s="28" t="str">
        <f aca="false">IF($A123="","",IF('1-Turizm Rehberliği'!F120="","",'1-Turizm Rehberliği'!F120))</f>
        <v/>
      </c>
      <c r="I123" s="28" t="str">
        <f aca="false">IF($A123="","",IF('1-Turizm Rehberliği'!G120="","",'1-Turizm Rehberliği'!G120))</f>
        <v/>
      </c>
      <c r="J123" s="28" t="str">
        <f aca="false">IF($A123="","",IF('1-Turizm Rehberliği'!H120="","",'1-Turizm Rehberliği'!H120))</f>
        <v/>
      </c>
      <c r="K123" s="28" t="str">
        <f aca="false">IF($A123="","",IF('1-Turizm Rehberliği'!I120="","",'1-Turizm Rehberliği'!I120))</f>
        <v/>
      </c>
      <c r="L123" s="28" t="str">
        <f aca="false">IF($I123="","",MATCH($I123,{"08.00";"09.00";"10.00";"11.00";"12.00";"13.00";"14.00";"15.00";"16.00";"17.00"},0))</f>
        <v/>
      </c>
      <c r="M123" s="28" t="str">
        <f aca="false">IF(OR($L123="",$J123=""),"",$L123+$J123-1)</f>
        <v/>
      </c>
      <c r="N123" s="28" t="str">
        <f aca="false">IF($A123="","",IF(OR($L123="",$M123=""),"",IF($M123&gt;10,"⚠ Saat Taşıyor","")))</f>
        <v/>
      </c>
      <c r="O123" s="28" t="str">
        <f aca="false">IF($A123="","",IF(OR($G123="",$H123="",$L123=""),"",IF(SUMPRODUCT(($A$7:$A$606&lt;&gt;"")*($G$7:$G$606=$G123)*($H$7:$H$606=$H123)*(ROW($A$7:$A$606)&lt;&gt;123)*($L$7:$L$606&lt;=$M123)*($M$7:$M$606&gt;=$L123))&gt;0,"⚠ Çakışma","OK")))</f>
        <v/>
      </c>
      <c r="P123" s="28" t="str">
        <f aca="false">IF($A123="","",IF(OR($K123="",$H123="",$L123=""),"",IF(SUMPRODUCT(($A$7:$A$606&lt;&gt;"")*($K$7:$K$606=$K123)*($H$7:$H$606=$H123)*(ROW($A$7:$A$606)&lt;&gt;123)*($L$7:$L$606&lt;=$M123)*($M$7:$M$606&gt;=$L123))&gt;0,"⚠ Çakışma","OK")))</f>
        <v/>
      </c>
      <c r="Q123" s="28" t="str">
        <f aca="false">IF($A123="","",IF(OR($E123="",$H123="",$L123=""),"",IF(SUMPRODUCT(($A$7:$A$606&lt;&gt;"")*($E$7:$E$606=$E123)*($H$7:$H$606=$H123)*(ROW($A$7:$A$606)&lt;&gt;123)*($L$7:$L$606&lt;=$M123)*($M$7:$M$606&gt;=$L123))&gt;0,"⚠ Çakışma","OK")))</f>
        <v/>
      </c>
      <c r="R123" s="28" t="str">
        <f aca="false">IF($A123="","",IF(OR($N123&lt;&gt;"",$O123="⚠ Çakışma",$P123="⚠ Çakışma",$Q123="⚠ Çakışma"),"⚠ Kontrol Et","✓ Uygun"))</f>
        <v/>
      </c>
    </row>
    <row r="124" customFormat="false" ht="13.5" hidden="false" customHeight="true" outlineLevel="0" collapsed="false">
      <c r="A124" s="28" t="str">
        <f aca="false">IF('1-Turizm Rehberliği'!A121="","","Turizm Rehberliği")</f>
        <v/>
      </c>
      <c r="B124" s="28" t="str">
        <f aca="false">IF($A124="","",IF('1-Turizm Rehberliği'!A121="","",'1-Turizm Rehberliği'!A121))</f>
        <v/>
      </c>
      <c r="C124" s="29" t="str">
        <f aca="false">IF($A124="","",IF('1-Turizm Rehberliği'!B121="","",'1-Turizm Rehberliği'!B121))</f>
        <v/>
      </c>
      <c r="D124" s="28" t="str">
        <f aca="false">IF($A124="","",IF('1-Turizm Rehberliği'!C121="","",'1-Turizm Rehberliği'!C121))</f>
        <v/>
      </c>
      <c r="E124" s="28" t="str">
        <f aca="false">IF($A124="","",$A124&amp;"-"&amp;$D124)</f>
        <v/>
      </c>
      <c r="F124" s="28" t="str">
        <f aca="false">IF($A124="","",IF('1-Turizm Rehberliği'!D121="","",'1-Turizm Rehberliği'!D121))</f>
        <v/>
      </c>
      <c r="G124" s="28" t="str">
        <f aca="false">IF($A124="","",IF('1-Turizm Rehberliği'!E121="","",'1-Turizm Rehberliği'!E121))</f>
        <v/>
      </c>
      <c r="H124" s="28" t="str">
        <f aca="false">IF($A124="","",IF('1-Turizm Rehberliği'!F121="","",'1-Turizm Rehberliği'!F121))</f>
        <v/>
      </c>
      <c r="I124" s="28" t="str">
        <f aca="false">IF($A124="","",IF('1-Turizm Rehberliği'!G121="","",'1-Turizm Rehberliği'!G121))</f>
        <v/>
      </c>
      <c r="J124" s="28" t="str">
        <f aca="false">IF($A124="","",IF('1-Turizm Rehberliği'!H121="","",'1-Turizm Rehberliği'!H121))</f>
        <v/>
      </c>
      <c r="K124" s="28" t="str">
        <f aca="false">IF($A124="","",IF('1-Turizm Rehberliği'!I121="","",'1-Turizm Rehberliği'!I121))</f>
        <v/>
      </c>
      <c r="L124" s="28" t="str">
        <f aca="false">IF($I124="","",MATCH($I124,{"08.00";"09.00";"10.00";"11.00";"12.00";"13.00";"14.00";"15.00";"16.00";"17.00"},0))</f>
        <v/>
      </c>
      <c r="M124" s="28" t="str">
        <f aca="false">IF(OR($L124="",$J124=""),"",$L124+$J124-1)</f>
        <v/>
      </c>
      <c r="N124" s="28" t="str">
        <f aca="false">IF($A124="","",IF(OR($L124="",$M124=""),"",IF($M124&gt;10,"⚠ Saat Taşıyor","")))</f>
        <v/>
      </c>
      <c r="O124" s="28" t="str">
        <f aca="false">IF($A124="","",IF(OR($G124="",$H124="",$L124=""),"",IF(SUMPRODUCT(($A$7:$A$606&lt;&gt;"")*($G$7:$G$606=$G124)*($H$7:$H$606=$H124)*(ROW($A$7:$A$606)&lt;&gt;124)*($L$7:$L$606&lt;=$M124)*($M$7:$M$606&gt;=$L124))&gt;0,"⚠ Çakışma","OK")))</f>
        <v/>
      </c>
      <c r="P124" s="28" t="str">
        <f aca="false">IF($A124="","",IF(OR($K124="",$H124="",$L124=""),"",IF(SUMPRODUCT(($A$7:$A$606&lt;&gt;"")*($K$7:$K$606=$K124)*($H$7:$H$606=$H124)*(ROW($A$7:$A$606)&lt;&gt;124)*($L$7:$L$606&lt;=$M124)*($M$7:$M$606&gt;=$L124))&gt;0,"⚠ Çakışma","OK")))</f>
        <v/>
      </c>
      <c r="Q124" s="28" t="str">
        <f aca="false">IF($A124="","",IF(OR($E124="",$H124="",$L124=""),"",IF(SUMPRODUCT(($A$7:$A$606&lt;&gt;"")*($E$7:$E$606=$E124)*($H$7:$H$606=$H124)*(ROW($A$7:$A$606)&lt;&gt;124)*($L$7:$L$606&lt;=$M124)*($M$7:$M$606&gt;=$L124))&gt;0,"⚠ Çakışma","OK")))</f>
        <v/>
      </c>
      <c r="R124" s="28" t="str">
        <f aca="false">IF($A124="","",IF(OR($N124&lt;&gt;"",$O124="⚠ Çakışma",$P124="⚠ Çakışma",$Q124="⚠ Çakışma"),"⚠ Kontrol Et","✓ Uygun"))</f>
        <v/>
      </c>
    </row>
    <row r="125" customFormat="false" ht="13.5" hidden="false" customHeight="true" outlineLevel="0" collapsed="false">
      <c r="A125" s="28" t="str">
        <f aca="false">IF('1-Turizm Rehberliği'!A122="","","Turizm Rehberliği")</f>
        <v/>
      </c>
      <c r="B125" s="28" t="str">
        <f aca="false">IF($A125="","",IF('1-Turizm Rehberliği'!A122="","",'1-Turizm Rehberliği'!A122))</f>
        <v/>
      </c>
      <c r="C125" s="29" t="str">
        <f aca="false">IF($A125="","",IF('1-Turizm Rehberliği'!B122="","",'1-Turizm Rehberliği'!B122))</f>
        <v/>
      </c>
      <c r="D125" s="28" t="str">
        <f aca="false">IF($A125="","",IF('1-Turizm Rehberliği'!C122="","",'1-Turizm Rehberliği'!C122))</f>
        <v/>
      </c>
      <c r="E125" s="28" t="str">
        <f aca="false">IF($A125="","",$A125&amp;"-"&amp;$D125)</f>
        <v/>
      </c>
      <c r="F125" s="28" t="str">
        <f aca="false">IF($A125="","",IF('1-Turizm Rehberliği'!D122="","",'1-Turizm Rehberliği'!D122))</f>
        <v/>
      </c>
      <c r="G125" s="28" t="str">
        <f aca="false">IF($A125="","",IF('1-Turizm Rehberliği'!E122="","",'1-Turizm Rehberliği'!E122))</f>
        <v/>
      </c>
      <c r="H125" s="28" t="str">
        <f aca="false">IF($A125="","",IF('1-Turizm Rehberliği'!F122="","",'1-Turizm Rehberliği'!F122))</f>
        <v/>
      </c>
      <c r="I125" s="28" t="str">
        <f aca="false">IF($A125="","",IF('1-Turizm Rehberliği'!G122="","",'1-Turizm Rehberliği'!G122))</f>
        <v/>
      </c>
      <c r="J125" s="28" t="str">
        <f aca="false">IF($A125="","",IF('1-Turizm Rehberliği'!H122="","",'1-Turizm Rehberliği'!H122))</f>
        <v/>
      </c>
      <c r="K125" s="28" t="str">
        <f aca="false">IF($A125="","",IF('1-Turizm Rehberliği'!I122="","",'1-Turizm Rehberliği'!I122))</f>
        <v/>
      </c>
      <c r="L125" s="28" t="str">
        <f aca="false">IF($I125="","",MATCH($I125,{"08.00";"09.00";"10.00";"11.00";"12.00";"13.00";"14.00";"15.00";"16.00";"17.00"},0))</f>
        <v/>
      </c>
      <c r="M125" s="28" t="str">
        <f aca="false">IF(OR($L125="",$J125=""),"",$L125+$J125-1)</f>
        <v/>
      </c>
      <c r="N125" s="28" t="str">
        <f aca="false">IF($A125="","",IF(OR($L125="",$M125=""),"",IF($M125&gt;10,"⚠ Saat Taşıyor","")))</f>
        <v/>
      </c>
      <c r="O125" s="28" t="str">
        <f aca="false">IF($A125="","",IF(OR($G125="",$H125="",$L125=""),"",IF(SUMPRODUCT(($A$7:$A$606&lt;&gt;"")*($G$7:$G$606=$G125)*($H$7:$H$606=$H125)*(ROW($A$7:$A$606)&lt;&gt;125)*($L$7:$L$606&lt;=$M125)*($M$7:$M$606&gt;=$L125))&gt;0,"⚠ Çakışma","OK")))</f>
        <v/>
      </c>
      <c r="P125" s="28" t="str">
        <f aca="false">IF($A125="","",IF(OR($K125="",$H125="",$L125=""),"",IF(SUMPRODUCT(($A$7:$A$606&lt;&gt;"")*($K$7:$K$606=$K125)*($H$7:$H$606=$H125)*(ROW($A$7:$A$606)&lt;&gt;125)*($L$7:$L$606&lt;=$M125)*($M$7:$M$606&gt;=$L125))&gt;0,"⚠ Çakışma","OK")))</f>
        <v/>
      </c>
      <c r="Q125" s="28" t="str">
        <f aca="false">IF($A125="","",IF(OR($E125="",$H125="",$L125=""),"",IF(SUMPRODUCT(($A$7:$A$606&lt;&gt;"")*($E$7:$E$606=$E125)*($H$7:$H$606=$H125)*(ROW($A$7:$A$606)&lt;&gt;125)*($L$7:$L$606&lt;=$M125)*($M$7:$M$606&gt;=$L125))&gt;0,"⚠ Çakışma","OK")))</f>
        <v/>
      </c>
      <c r="R125" s="28" t="str">
        <f aca="false">IF($A125="","",IF(OR($N125&lt;&gt;"",$O125="⚠ Çakışma",$P125="⚠ Çakışma",$Q125="⚠ Çakışma"),"⚠ Kontrol Et","✓ Uygun"))</f>
        <v/>
      </c>
    </row>
    <row r="126" customFormat="false" ht="13.5" hidden="false" customHeight="true" outlineLevel="0" collapsed="false">
      <c r="A126" s="28" t="str">
        <f aca="false">IF('1-Turizm Rehberliği'!A123="","","Turizm Rehberliği")</f>
        <v/>
      </c>
      <c r="B126" s="28" t="str">
        <f aca="false">IF($A126="","",IF('1-Turizm Rehberliği'!A123="","",'1-Turizm Rehberliği'!A123))</f>
        <v/>
      </c>
      <c r="C126" s="29" t="str">
        <f aca="false">IF($A126="","",IF('1-Turizm Rehberliği'!B123="","",'1-Turizm Rehberliği'!B123))</f>
        <v/>
      </c>
      <c r="D126" s="28" t="str">
        <f aca="false">IF($A126="","",IF('1-Turizm Rehberliği'!C123="","",'1-Turizm Rehberliği'!C123))</f>
        <v/>
      </c>
      <c r="E126" s="28" t="str">
        <f aca="false">IF($A126="","",$A126&amp;"-"&amp;$D126)</f>
        <v/>
      </c>
      <c r="F126" s="28" t="str">
        <f aca="false">IF($A126="","",IF('1-Turizm Rehberliği'!D123="","",'1-Turizm Rehberliği'!D123))</f>
        <v/>
      </c>
      <c r="G126" s="28" t="str">
        <f aca="false">IF($A126="","",IF('1-Turizm Rehberliği'!E123="","",'1-Turizm Rehberliği'!E123))</f>
        <v/>
      </c>
      <c r="H126" s="28" t="str">
        <f aca="false">IF($A126="","",IF('1-Turizm Rehberliği'!F123="","",'1-Turizm Rehberliği'!F123))</f>
        <v/>
      </c>
      <c r="I126" s="28" t="str">
        <f aca="false">IF($A126="","",IF('1-Turizm Rehberliği'!G123="","",'1-Turizm Rehberliği'!G123))</f>
        <v/>
      </c>
      <c r="J126" s="28" t="str">
        <f aca="false">IF($A126="","",IF('1-Turizm Rehberliği'!H123="","",'1-Turizm Rehberliği'!H123))</f>
        <v/>
      </c>
      <c r="K126" s="28" t="str">
        <f aca="false">IF($A126="","",IF('1-Turizm Rehberliği'!I123="","",'1-Turizm Rehberliği'!I123))</f>
        <v/>
      </c>
      <c r="L126" s="28" t="str">
        <f aca="false">IF($I126="","",MATCH($I126,{"08.00";"09.00";"10.00";"11.00";"12.00";"13.00";"14.00";"15.00";"16.00";"17.00"},0))</f>
        <v/>
      </c>
      <c r="M126" s="28" t="str">
        <f aca="false">IF(OR($L126="",$J126=""),"",$L126+$J126-1)</f>
        <v/>
      </c>
      <c r="N126" s="28" t="str">
        <f aca="false">IF($A126="","",IF(OR($L126="",$M126=""),"",IF($M126&gt;10,"⚠ Saat Taşıyor","")))</f>
        <v/>
      </c>
      <c r="O126" s="28" t="str">
        <f aca="false">IF($A126="","",IF(OR($G126="",$H126="",$L126=""),"",IF(SUMPRODUCT(($A$7:$A$606&lt;&gt;"")*($G$7:$G$606=$G126)*($H$7:$H$606=$H126)*(ROW($A$7:$A$606)&lt;&gt;126)*($L$7:$L$606&lt;=$M126)*($M$7:$M$606&gt;=$L126))&gt;0,"⚠ Çakışma","OK")))</f>
        <v/>
      </c>
      <c r="P126" s="28" t="str">
        <f aca="false">IF($A126="","",IF(OR($K126="",$H126="",$L126=""),"",IF(SUMPRODUCT(($A$7:$A$606&lt;&gt;"")*($K$7:$K$606=$K126)*($H$7:$H$606=$H126)*(ROW($A$7:$A$606)&lt;&gt;126)*($L$7:$L$606&lt;=$M126)*($M$7:$M$606&gt;=$L126))&gt;0,"⚠ Çakışma","OK")))</f>
        <v/>
      </c>
      <c r="Q126" s="28" t="str">
        <f aca="false">IF($A126="","",IF(OR($E126="",$H126="",$L126=""),"",IF(SUMPRODUCT(($A$7:$A$606&lt;&gt;"")*($E$7:$E$606=$E126)*($H$7:$H$606=$H126)*(ROW($A$7:$A$606)&lt;&gt;126)*($L$7:$L$606&lt;=$M126)*($M$7:$M$606&gt;=$L126))&gt;0,"⚠ Çakışma","OK")))</f>
        <v/>
      </c>
      <c r="R126" s="28" t="str">
        <f aca="false">IF($A126="","",IF(OR($N126&lt;&gt;"",$O126="⚠ Çakışma",$P126="⚠ Çakışma",$Q126="⚠ Çakışma"),"⚠ Kontrol Et","✓ Uygun"))</f>
        <v/>
      </c>
    </row>
    <row r="127" customFormat="false" ht="13.5" hidden="false" customHeight="true" outlineLevel="0" collapsed="false">
      <c r="A127" s="28" t="str">
        <f aca="false">IF('1-Turizm Rehberliği'!A124="","","Turizm Rehberliği")</f>
        <v/>
      </c>
      <c r="B127" s="28" t="str">
        <f aca="false">IF($A127="","",IF('1-Turizm Rehberliği'!A124="","",'1-Turizm Rehberliği'!A124))</f>
        <v/>
      </c>
      <c r="C127" s="29" t="str">
        <f aca="false">IF($A127="","",IF('1-Turizm Rehberliği'!B124="","",'1-Turizm Rehberliği'!B124))</f>
        <v/>
      </c>
      <c r="D127" s="28" t="str">
        <f aca="false">IF($A127="","",IF('1-Turizm Rehberliği'!C124="","",'1-Turizm Rehberliği'!C124))</f>
        <v/>
      </c>
      <c r="E127" s="28" t="str">
        <f aca="false">IF($A127="","",$A127&amp;"-"&amp;$D127)</f>
        <v/>
      </c>
      <c r="F127" s="28" t="str">
        <f aca="false">IF($A127="","",IF('1-Turizm Rehberliği'!D124="","",'1-Turizm Rehberliği'!D124))</f>
        <v/>
      </c>
      <c r="G127" s="28" t="str">
        <f aca="false">IF($A127="","",IF('1-Turizm Rehberliği'!E124="","",'1-Turizm Rehberliği'!E124))</f>
        <v/>
      </c>
      <c r="H127" s="28" t="str">
        <f aca="false">IF($A127="","",IF('1-Turizm Rehberliği'!F124="","",'1-Turizm Rehberliği'!F124))</f>
        <v/>
      </c>
      <c r="I127" s="28" t="str">
        <f aca="false">IF($A127="","",IF('1-Turizm Rehberliği'!G124="","",'1-Turizm Rehberliği'!G124))</f>
        <v/>
      </c>
      <c r="J127" s="28" t="str">
        <f aca="false">IF($A127="","",IF('1-Turizm Rehberliği'!H124="","",'1-Turizm Rehberliği'!H124))</f>
        <v/>
      </c>
      <c r="K127" s="28" t="str">
        <f aca="false">IF($A127="","",IF('1-Turizm Rehberliği'!I124="","",'1-Turizm Rehberliği'!I124))</f>
        <v/>
      </c>
      <c r="L127" s="28" t="str">
        <f aca="false">IF($I127="","",MATCH($I127,{"08.00";"09.00";"10.00";"11.00";"12.00";"13.00";"14.00";"15.00";"16.00";"17.00"},0))</f>
        <v/>
      </c>
      <c r="M127" s="28" t="str">
        <f aca="false">IF(OR($L127="",$J127=""),"",$L127+$J127-1)</f>
        <v/>
      </c>
      <c r="N127" s="28" t="str">
        <f aca="false">IF($A127="","",IF(OR($L127="",$M127=""),"",IF($M127&gt;10,"⚠ Saat Taşıyor","")))</f>
        <v/>
      </c>
      <c r="O127" s="28" t="str">
        <f aca="false">IF($A127="","",IF(OR($G127="",$H127="",$L127=""),"",IF(SUMPRODUCT(($A$7:$A$606&lt;&gt;"")*($G$7:$G$606=$G127)*($H$7:$H$606=$H127)*(ROW($A$7:$A$606)&lt;&gt;127)*($L$7:$L$606&lt;=$M127)*($M$7:$M$606&gt;=$L127))&gt;0,"⚠ Çakışma","OK")))</f>
        <v/>
      </c>
      <c r="P127" s="28" t="str">
        <f aca="false">IF($A127="","",IF(OR($K127="",$H127="",$L127=""),"",IF(SUMPRODUCT(($A$7:$A$606&lt;&gt;"")*($K$7:$K$606=$K127)*($H$7:$H$606=$H127)*(ROW($A$7:$A$606)&lt;&gt;127)*($L$7:$L$606&lt;=$M127)*($M$7:$M$606&gt;=$L127))&gt;0,"⚠ Çakışma","OK")))</f>
        <v/>
      </c>
      <c r="Q127" s="28" t="str">
        <f aca="false">IF($A127="","",IF(OR($E127="",$H127="",$L127=""),"",IF(SUMPRODUCT(($A$7:$A$606&lt;&gt;"")*($E$7:$E$606=$E127)*($H$7:$H$606=$H127)*(ROW($A$7:$A$606)&lt;&gt;127)*($L$7:$L$606&lt;=$M127)*($M$7:$M$606&gt;=$L127))&gt;0,"⚠ Çakışma","OK")))</f>
        <v/>
      </c>
      <c r="R127" s="28" t="str">
        <f aca="false">IF($A127="","",IF(OR($N127&lt;&gt;"",$O127="⚠ Çakışma",$P127="⚠ Çakışma",$Q127="⚠ Çakışma"),"⚠ Kontrol Et","✓ Uygun"))</f>
        <v/>
      </c>
    </row>
    <row r="128" customFormat="false" ht="13.5" hidden="false" customHeight="true" outlineLevel="0" collapsed="false">
      <c r="A128" s="28" t="str">
        <f aca="false">IF('1-Turizm Rehberliği'!A125="","","Turizm Rehberliği")</f>
        <v/>
      </c>
      <c r="B128" s="28" t="str">
        <f aca="false">IF($A128="","",IF('1-Turizm Rehberliği'!A125="","",'1-Turizm Rehberliği'!A125))</f>
        <v/>
      </c>
      <c r="C128" s="29" t="str">
        <f aca="false">IF($A128="","",IF('1-Turizm Rehberliği'!B125="","",'1-Turizm Rehberliği'!B125))</f>
        <v/>
      </c>
      <c r="D128" s="28" t="str">
        <f aca="false">IF($A128="","",IF('1-Turizm Rehberliği'!C125="","",'1-Turizm Rehberliği'!C125))</f>
        <v/>
      </c>
      <c r="E128" s="28" t="str">
        <f aca="false">IF($A128="","",$A128&amp;"-"&amp;$D128)</f>
        <v/>
      </c>
      <c r="F128" s="28" t="str">
        <f aca="false">IF($A128="","",IF('1-Turizm Rehberliği'!D125="","",'1-Turizm Rehberliği'!D125))</f>
        <v/>
      </c>
      <c r="G128" s="28" t="str">
        <f aca="false">IF($A128="","",IF('1-Turizm Rehberliği'!E125="","",'1-Turizm Rehberliği'!E125))</f>
        <v/>
      </c>
      <c r="H128" s="28" t="str">
        <f aca="false">IF($A128="","",IF('1-Turizm Rehberliği'!F125="","",'1-Turizm Rehberliği'!F125))</f>
        <v/>
      </c>
      <c r="I128" s="28" t="str">
        <f aca="false">IF($A128="","",IF('1-Turizm Rehberliği'!G125="","",'1-Turizm Rehberliği'!G125))</f>
        <v/>
      </c>
      <c r="J128" s="28" t="str">
        <f aca="false">IF($A128="","",IF('1-Turizm Rehberliği'!H125="","",'1-Turizm Rehberliği'!H125))</f>
        <v/>
      </c>
      <c r="K128" s="28" t="str">
        <f aca="false">IF($A128="","",IF('1-Turizm Rehberliği'!I125="","",'1-Turizm Rehberliği'!I125))</f>
        <v/>
      </c>
      <c r="L128" s="28" t="str">
        <f aca="false">IF($I128="","",MATCH($I128,{"08.00";"09.00";"10.00";"11.00";"12.00";"13.00";"14.00";"15.00";"16.00";"17.00"},0))</f>
        <v/>
      </c>
      <c r="M128" s="28" t="str">
        <f aca="false">IF(OR($L128="",$J128=""),"",$L128+$J128-1)</f>
        <v/>
      </c>
      <c r="N128" s="28" t="str">
        <f aca="false">IF($A128="","",IF(OR($L128="",$M128=""),"",IF($M128&gt;10,"⚠ Saat Taşıyor","")))</f>
        <v/>
      </c>
      <c r="O128" s="28" t="str">
        <f aca="false">IF($A128="","",IF(OR($G128="",$H128="",$L128=""),"",IF(SUMPRODUCT(($A$7:$A$606&lt;&gt;"")*($G$7:$G$606=$G128)*($H$7:$H$606=$H128)*(ROW($A$7:$A$606)&lt;&gt;128)*($L$7:$L$606&lt;=$M128)*($M$7:$M$606&gt;=$L128))&gt;0,"⚠ Çakışma","OK")))</f>
        <v/>
      </c>
      <c r="P128" s="28" t="str">
        <f aca="false">IF($A128="","",IF(OR($K128="",$H128="",$L128=""),"",IF(SUMPRODUCT(($A$7:$A$606&lt;&gt;"")*($K$7:$K$606=$K128)*($H$7:$H$606=$H128)*(ROW($A$7:$A$606)&lt;&gt;128)*($L$7:$L$606&lt;=$M128)*($M$7:$M$606&gt;=$L128))&gt;0,"⚠ Çakışma","OK")))</f>
        <v/>
      </c>
      <c r="Q128" s="28" t="str">
        <f aca="false">IF($A128="","",IF(OR($E128="",$H128="",$L128=""),"",IF(SUMPRODUCT(($A$7:$A$606&lt;&gt;"")*($E$7:$E$606=$E128)*($H$7:$H$606=$H128)*(ROW($A$7:$A$606)&lt;&gt;128)*($L$7:$L$606&lt;=$M128)*($M$7:$M$606&gt;=$L128))&gt;0,"⚠ Çakışma","OK")))</f>
        <v/>
      </c>
      <c r="R128" s="28" t="str">
        <f aca="false">IF($A128="","",IF(OR($N128&lt;&gt;"",$O128="⚠ Çakışma",$P128="⚠ Çakışma",$Q128="⚠ Çakışma"),"⚠ Kontrol Et","✓ Uygun"))</f>
        <v/>
      </c>
    </row>
    <row r="129" customFormat="false" ht="13.5" hidden="false" customHeight="true" outlineLevel="0" collapsed="false">
      <c r="A129" s="28" t="str">
        <f aca="false">IF('1-Turizm Rehberliği'!A126="","","Turizm Rehberliği")</f>
        <v/>
      </c>
      <c r="B129" s="28" t="str">
        <f aca="false">IF($A129="","",IF('1-Turizm Rehberliği'!A126="","",'1-Turizm Rehberliği'!A126))</f>
        <v/>
      </c>
      <c r="C129" s="29" t="str">
        <f aca="false">IF($A129="","",IF('1-Turizm Rehberliği'!B126="","",'1-Turizm Rehberliği'!B126))</f>
        <v/>
      </c>
      <c r="D129" s="28" t="str">
        <f aca="false">IF($A129="","",IF('1-Turizm Rehberliği'!C126="","",'1-Turizm Rehberliği'!C126))</f>
        <v/>
      </c>
      <c r="E129" s="28" t="str">
        <f aca="false">IF($A129="","",$A129&amp;"-"&amp;$D129)</f>
        <v/>
      </c>
      <c r="F129" s="28" t="str">
        <f aca="false">IF($A129="","",IF('1-Turizm Rehberliği'!D126="","",'1-Turizm Rehberliği'!D126))</f>
        <v/>
      </c>
      <c r="G129" s="28" t="str">
        <f aca="false">IF($A129="","",IF('1-Turizm Rehberliği'!E126="","",'1-Turizm Rehberliği'!E126))</f>
        <v/>
      </c>
      <c r="H129" s="28" t="str">
        <f aca="false">IF($A129="","",IF('1-Turizm Rehberliği'!F126="","",'1-Turizm Rehberliği'!F126))</f>
        <v/>
      </c>
      <c r="I129" s="28" t="str">
        <f aca="false">IF($A129="","",IF('1-Turizm Rehberliği'!G126="","",'1-Turizm Rehberliği'!G126))</f>
        <v/>
      </c>
      <c r="J129" s="28" t="str">
        <f aca="false">IF($A129="","",IF('1-Turizm Rehberliği'!H126="","",'1-Turizm Rehberliği'!H126))</f>
        <v/>
      </c>
      <c r="K129" s="28" t="str">
        <f aca="false">IF($A129="","",IF('1-Turizm Rehberliği'!I126="","",'1-Turizm Rehberliği'!I126))</f>
        <v/>
      </c>
      <c r="L129" s="28" t="str">
        <f aca="false">IF($I129="","",MATCH($I129,{"08.00";"09.00";"10.00";"11.00";"12.00";"13.00";"14.00";"15.00";"16.00";"17.00"},0))</f>
        <v/>
      </c>
      <c r="M129" s="28" t="str">
        <f aca="false">IF(OR($L129="",$J129=""),"",$L129+$J129-1)</f>
        <v/>
      </c>
      <c r="N129" s="28" t="str">
        <f aca="false">IF($A129="","",IF(OR($L129="",$M129=""),"",IF($M129&gt;10,"⚠ Saat Taşıyor","")))</f>
        <v/>
      </c>
      <c r="O129" s="28" t="str">
        <f aca="false">IF($A129="","",IF(OR($G129="",$H129="",$L129=""),"",IF(SUMPRODUCT(($A$7:$A$606&lt;&gt;"")*($G$7:$G$606=$G129)*($H$7:$H$606=$H129)*(ROW($A$7:$A$606)&lt;&gt;129)*($L$7:$L$606&lt;=$M129)*($M$7:$M$606&gt;=$L129))&gt;0,"⚠ Çakışma","OK")))</f>
        <v/>
      </c>
      <c r="P129" s="28" t="str">
        <f aca="false">IF($A129="","",IF(OR($K129="",$H129="",$L129=""),"",IF(SUMPRODUCT(($A$7:$A$606&lt;&gt;"")*($K$7:$K$606=$K129)*($H$7:$H$606=$H129)*(ROW($A$7:$A$606)&lt;&gt;129)*($L$7:$L$606&lt;=$M129)*($M$7:$M$606&gt;=$L129))&gt;0,"⚠ Çakışma","OK")))</f>
        <v/>
      </c>
      <c r="Q129" s="28" t="str">
        <f aca="false">IF($A129="","",IF(OR($E129="",$H129="",$L129=""),"",IF(SUMPRODUCT(($A$7:$A$606&lt;&gt;"")*($E$7:$E$606=$E129)*($H$7:$H$606=$H129)*(ROW($A$7:$A$606)&lt;&gt;129)*($L$7:$L$606&lt;=$M129)*($M$7:$M$606&gt;=$L129))&gt;0,"⚠ Çakışma","OK")))</f>
        <v/>
      </c>
      <c r="R129" s="28" t="str">
        <f aca="false">IF($A129="","",IF(OR($N129&lt;&gt;"",$O129="⚠ Çakışma",$P129="⚠ Çakışma",$Q129="⚠ Çakışma"),"⚠ Kontrol Et","✓ Uygun"))</f>
        <v/>
      </c>
    </row>
    <row r="130" customFormat="false" ht="13.5" hidden="false" customHeight="true" outlineLevel="0" collapsed="false">
      <c r="A130" s="28" t="str">
        <f aca="false">IF('1-Turizm Rehberliği'!A127="","","Turizm Rehberliği")</f>
        <v/>
      </c>
      <c r="B130" s="28" t="str">
        <f aca="false">IF($A130="","",IF('1-Turizm Rehberliği'!A127="","",'1-Turizm Rehberliği'!A127))</f>
        <v/>
      </c>
      <c r="C130" s="29" t="str">
        <f aca="false">IF($A130="","",IF('1-Turizm Rehberliği'!B127="","",'1-Turizm Rehberliği'!B127))</f>
        <v/>
      </c>
      <c r="D130" s="28" t="str">
        <f aca="false">IF($A130="","",IF('1-Turizm Rehberliği'!C127="","",'1-Turizm Rehberliği'!C127))</f>
        <v/>
      </c>
      <c r="E130" s="28" t="str">
        <f aca="false">IF($A130="","",$A130&amp;"-"&amp;$D130)</f>
        <v/>
      </c>
      <c r="F130" s="28" t="str">
        <f aca="false">IF($A130="","",IF('1-Turizm Rehberliği'!D127="","",'1-Turizm Rehberliği'!D127))</f>
        <v/>
      </c>
      <c r="G130" s="28" t="str">
        <f aca="false">IF($A130="","",IF('1-Turizm Rehberliği'!E127="","",'1-Turizm Rehberliği'!E127))</f>
        <v/>
      </c>
      <c r="H130" s="28" t="str">
        <f aca="false">IF($A130="","",IF('1-Turizm Rehberliği'!F127="","",'1-Turizm Rehberliği'!F127))</f>
        <v/>
      </c>
      <c r="I130" s="28" t="str">
        <f aca="false">IF($A130="","",IF('1-Turizm Rehberliği'!G127="","",'1-Turizm Rehberliği'!G127))</f>
        <v/>
      </c>
      <c r="J130" s="28" t="str">
        <f aca="false">IF($A130="","",IF('1-Turizm Rehberliği'!H127="","",'1-Turizm Rehberliği'!H127))</f>
        <v/>
      </c>
      <c r="K130" s="28" t="str">
        <f aca="false">IF($A130="","",IF('1-Turizm Rehberliği'!I127="","",'1-Turizm Rehberliği'!I127))</f>
        <v/>
      </c>
      <c r="L130" s="28" t="str">
        <f aca="false">IF($I130="","",MATCH($I130,{"08.00";"09.00";"10.00";"11.00";"12.00";"13.00";"14.00";"15.00";"16.00";"17.00"},0))</f>
        <v/>
      </c>
      <c r="M130" s="28" t="str">
        <f aca="false">IF(OR($L130="",$J130=""),"",$L130+$J130-1)</f>
        <v/>
      </c>
      <c r="N130" s="28" t="str">
        <f aca="false">IF($A130="","",IF(OR($L130="",$M130=""),"",IF($M130&gt;10,"⚠ Saat Taşıyor","")))</f>
        <v/>
      </c>
      <c r="O130" s="28" t="str">
        <f aca="false">IF($A130="","",IF(OR($G130="",$H130="",$L130=""),"",IF(SUMPRODUCT(($A$7:$A$606&lt;&gt;"")*($G$7:$G$606=$G130)*($H$7:$H$606=$H130)*(ROW($A$7:$A$606)&lt;&gt;130)*($L$7:$L$606&lt;=$M130)*($M$7:$M$606&gt;=$L130))&gt;0,"⚠ Çakışma","OK")))</f>
        <v/>
      </c>
      <c r="P130" s="28" t="str">
        <f aca="false">IF($A130="","",IF(OR($K130="",$H130="",$L130=""),"",IF(SUMPRODUCT(($A$7:$A$606&lt;&gt;"")*($K$7:$K$606=$K130)*($H$7:$H$606=$H130)*(ROW($A$7:$A$606)&lt;&gt;130)*($L$7:$L$606&lt;=$M130)*($M$7:$M$606&gt;=$L130))&gt;0,"⚠ Çakışma","OK")))</f>
        <v/>
      </c>
      <c r="Q130" s="28" t="str">
        <f aca="false">IF($A130="","",IF(OR($E130="",$H130="",$L130=""),"",IF(SUMPRODUCT(($A$7:$A$606&lt;&gt;"")*($E$7:$E$606=$E130)*($H$7:$H$606=$H130)*(ROW($A$7:$A$606)&lt;&gt;130)*($L$7:$L$606&lt;=$M130)*($M$7:$M$606&gt;=$L130))&gt;0,"⚠ Çakışma","OK")))</f>
        <v/>
      </c>
      <c r="R130" s="28" t="str">
        <f aca="false">IF($A130="","",IF(OR($N130&lt;&gt;"",$O130="⚠ Çakışma",$P130="⚠ Çakışma",$Q130="⚠ Çakışma"),"⚠ Kontrol Et","✓ Uygun"))</f>
        <v/>
      </c>
    </row>
    <row r="131" customFormat="false" ht="13.5" hidden="false" customHeight="true" outlineLevel="0" collapsed="false">
      <c r="A131" s="28" t="str">
        <f aca="false">IF('1-Turizm Rehberliği'!A128="","","Turizm Rehberliği")</f>
        <v/>
      </c>
      <c r="B131" s="28" t="str">
        <f aca="false">IF($A131="","",IF('1-Turizm Rehberliği'!A128="","",'1-Turizm Rehberliği'!A128))</f>
        <v/>
      </c>
      <c r="C131" s="29" t="str">
        <f aca="false">IF($A131="","",IF('1-Turizm Rehberliği'!B128="","",'1-Turizm Rehberliği'!B128))</f>
        <v/>
      </c>
      <c r="D131" s="28" t="str">
        <f aca="false">IF($A131="","",IF('1-Turizm Rehberliği'!C128="","",'1-Turizm Rehberliği'!C128))</f>
        <v/>
      </c>
      <c r="E131" s="28" t="str">
        <f aca="false">IF($A131="","",$A131&amp;"-"&amp;$D131)</f>
        <v/>
      </c>
      <c r="F131" s="28" t="str">
        <f aca="false">IF($A131="","",IF('1-Turizm Rehberliği'!D128="","",'1-Turizm Rehberliği'!D128))</f>
        <v/>
      </c>
      <c r="G131" s="28" t="str">
        <f aca="false">IF($A131="","",IF('1-Turizm Rehberliği'!E128="","",'1-Turizm Rehberliği'!E128))</f>
        <v/>
      </c>
      <c r="H131" s="28" t="str">
        <f aca="false">IF($A131="","",IF('1-Turizm Rehberliği'!F128="","",'1-Turizm Rehberliği'!F128))</f>
        <v/>
      </c>
      <c r="I131" s="28" t="str">
        <f aca="false">IF($A131="","",IF('1-Turizm Rehberliği'!G128="","",'1-Turizm Rehberliği'!G128))</f>
        <v/>
      </c>
      <c r="J131" s="28" t="str">
        <f aca="false">IF($A131="","",IF('1-Turizm Rehberliği'!H128="","",'1-Turizm Rehberliği'!H128))</f>
        <v/>
      </c>
      <c r="K131" s="28" t="str">
        <f aca="false">IF($A131="","",IF('1-Turizm Rehberliği'!I128="","",'1-Turizm Rehberliği'!I128))</f>
        <v/>
      </c>
      <c r="L131" s="28" t="str">
        <f aca="false">IF($I131="","",MATCH($I131,{"08.00";"09.00";"10.00";"11.00";"12.00";"13.00";"14.00";"15.00";"16.00";"17.00"},0))</f>
        <v/>
      </c>
      <c r="M131" s="28" t="str">
        <f aca="false">IF(OR($L131="",$J131=""),"",$L131+$J131-1)</f>
        <v/>
      </c>
      <c r="N131" s="28" t="str">
        <f aca="false">IF($A131="","",IF(OR($L131="",$M131=""),"",IF($M131&gt;10,"⚠ Saat Taşıyor","")))</f>
        <v/>
      </c>
      <c r="O131" s="28" t="str">
        <f aca="false">IF($A131="","",IF(OR($G131="",$H131="",$L131=""),"",IF(SUMPRODUCT(($A$7:$A$606&lt;&gt;"")*($G$7:$G$606=$G131)*($H$7:$H$606=$H131)*(ROW($A$7:$A$606)&lt;&gt;131)*($L$7:$L$606&lt;=$M131)*($M$7:$M$606&gt;=$L131))&gt;0,"⚠ Çakışma","OK")))</f>
        <v/>
      </c>
      <c r="P131" s="28" t="str">
        <f aca="false">IF($A131="","",IF(OR($K131="",$H131="",$L131=""),"",IF(SUMPRODUCT(($A$7:$A$606&lt;&gt;"")*($K$7:$K$606=$K131)*($H$7:$H$606=$H131)*(ROW($A$7:$A$606)&lt;&gt;131)*($L$7:$L$606&lt;=$M131)*($M$7:$M$606&gt;=$L131))&gt;0,"⚠ Çakışma","OK")))</f>
        <v/>
      </c>
      <c r="Q131" s="28" t="str">
        <f aca="false">IF($A131="","",IF(OR($E131="",$H131="",$L131=""),"",IF(SUMPRODUCT(($A$7:$A$606&lt;&gt;"")*($E$7:$E$606=$E131)*($H$7:$H$606=$H131)*(ROW($A$7:$A$606)&lt;&gt;131)*($L$7:$L$606&lt;=$M131)*($M$7:$M$606&gt;=$L131))&gt;0,"⚠ Çakışma","OK")))</f>
        <v/>
      </c>
      <c r="R131" s="28" t="str">
        <f aca="false">IF($A131="","",IF(OR($N131&lt;&gt;"",$O131="⚠ Çakışma",$P131="⚠ Çakışma",$Q131="⚠ Çakışma"),"⚠ Kontrol Et","✓ Uygun"))</f>
        <v/>
      </c>
    </row>
    <row r="132" customFormat="false" ht="13.5" hidden="false" customHeight="true" outlineLevel="0" collapsed="false">
      <c r="A132" s="28" t="str">
        <f aca="false">IF('1-Turizm Rehberliği'!A129="","","Turizm Rehberliği")</f>
        <v/>
      </c>
      <c r="B132" s="28" t="str">
        <f aca="false">IF($A132="","",IF('1-Turizm Rehberliği'!A129="","",'1-Turizm Rehberliği'!A129))</f>
        <v/>
      </c>
      <c r="C132" s="29" t="str">
        <f aca="false">IF($A132="","",IF('1-Turizm Rehberliği'!B129="","",'1-Turizm Rehberliği'!B129))</f>
        <v/>
      </c>
      <c r="D132" s="28" t="str">
        <f aca="false">IF($A132="","",IF('1-Turizm Rehberliği'!C129="","",'1-Turizm Rehberliği'!C129))</f>
        <v/>
      </c>
      <c r="E132" s="28" t="str">
        <f aca="false">IF($A132="","",$A132&amp;"-"&amp;$D132)</f>
        <v/>
      </c>
      <c r="F132" s="28" t="str">
        <f aca="false">IF($A132="","",IF('1-Turizm Rehberliği'!D129="","",'1-Turizm Rehberliği'!D129))</f>
        <v/>
      </c>
      <c r="G132" s="28" t="str">
        <f aca="false">IF($A132="","",IF('1-Turizm Rehberliği'!E129="","",'1-Turizm Rehberliği'!E129))</f>
        <v/>
      </c>
      <c r="H132" s="28" t="str">
        <f aca="false">IF($A132="","",IF('1-Turizm Rehberliği'!F129="","",'1-Turizm Rehberliği'!F129))</f>
        <v/>
      </c>
      <c r="I132" s="28" t="str">
        <f aca="false">IF($A132="","",IF('1-Turizm Rehberliği'!G129="","",'1-Turizm Rehberliği'!G129))</f>
        <v/>
      </c>
      <c r="J132" s="28" t="str">
        <f aca="false">IF($A132="","",IF('1-Turizm Rehberliği'!H129="","",'1-Turizm Rehberliği'!H129))</f>
        <v/>
      </c>
      <c r="K132" s="28" t="str">
        <f aca="false">IF($A132="","",IF('1-Turizm Rehberliği'!I129="","",'1-Turizm Rehberliği'!I129))</f>
        <v/>
      </c>
      <c r="L132" s="28" t="str">
        <f aca="false">IF($I132="","",MATCH($I132,{"08.00";"09.00";"10.00";"11.00";"12.00";"13.00";"14.00";"15.00";"16.00";"17.00"},0))</f>
        <v/>
      </c>
      <c r="M132" s="28" t="str">
        <f aca="false">IF(OR($L132="",$J132=""),"",$L132+$J132-1)</f>
        <v/>
      </c>
      <c r="N132" s="28" t="str">
        <f aca="false">IF($A132="","",IF(OR($L132="",$M132=""),"",IF($M132&gt;10,"⚠ Saat Taşıyor","")))</f>
        <v/>
      </c>
      <c r="O132" s="28" t="str">
        <f aca="false">IF($A132="","",IF(OR($G132="",$H132="",$L132=""),"",IF(SUMPRODUCT(($A$7:$A$606&lt;&gt;"")*($G$7:$G$606=$G132)*($H$7:$H$606=$H132)*(ROW($A$7:$A$606)&lt;&gt;132)*($L$7:$L$606&lt;=$M132)*($M$7:$M$606&gt;=$L132))&gt;0,"⚠ Çakışma","OK")))</f>
        <v/>
      </c>
      <c r="P132" s="28" t="str">
        <f aca="false">IF($A132="","",IF(OR($K132="",$H132="",$L132=""),"",IF(SUMPRODUCT(($A$7:$A$606&lt;&gt;"")*($K$7:$K$606=$K132)*($H$7:$H$606=$H132)*(ROW($A$7:$A$606)&lt;&gt;132)*($L$7:$L$606&lt;=$M132)*($M$7:$M$606&gt;=$L132))&gt;0,"⚠ Çakışma","OK")))</f>
        <v/>
      </c>
      <c r="Q132" s="28" t="str">
        <f aca="false">IF($A132="","",IF(OR($E132="",$H132="",$L132=""),"",IF(SUMPRODUCT(($A$7:$A$606&lt;&gt;"")*($E$7:$E$606=$E132)*($H$7:$H$606=$H132)*(ROW($A$7:$A$606)&lt;&gt;132)*($L$7:$L$606&lt;=$M132)*($M$7:$M$606&gt;=$L132))&gt;0,"⚠ Çakışma","OK")))</f>
        <v/>
      </c>
      <c r="R132" s="28" t="str">
        <f aca="false">IF($A132="","",IF(OR($N132&lt;&gt;"",$O132="⚠ Çakışma",$P132="⚠ Çakışma",$Q132="⚠ Çakışma"),"⚠ Kontrol Et","✓ Uygun"))</f>
        <v/>
      </c>
    </row>
    <row r="133" customFormat="false" ht="13.5" hidden="false" customHeight="true" outlineLevel="0" collapsed="false">
      <c r="A133" s="28" t="str">
        <f aca="false">IF('1-Turizm Rehberliği'!A130="","","Turizm Rehberliği")</f>
        <v/>
      </c>
      <c r="B133" s="28" t="str">
        <f aca="false">IF($A133="","",IF('1-Turizm Rehberliği'!A130="","",'1-Turizm Rehberliği'!A130))</f>
        <v/>
      </c>
      <c r="C133" s="29" t="str">
        <f aca="false">IF($A133="","",IF('1-Turizm Rehberliği'!B130="","",'1-Turizm Rehberliği'!B130))</f>
        <v/>
      </c>
      <c r="D133" s="28" t="str">
        <f aca="false">IF($A133="","",IF('1-Turizm Rehberliği'!C130="","",'1-Turizm Rehberliği'!C130))</f>
        <v/>
      </c>
      <c r="E133" s="28" t="str">
        <f aca="false">IF($A133="","",$A133&amp;"-"&amp;$D133)</f>
        <v/>
      </c>
      <c r="F133" s="28" t="str">
        <f aca="false">IF($A133="","",IF('1-Turizm Rehberliği'!D130="","",'1-Turizm Rehberliği'!D130))</f>
        <v/>
      </c>
      <c r="G133" s="28" t="str">
        <f aca="false">IF($A133="","",IF('1-Turizm Rehberliği'!E130="","",'1-Turizm Rehberliği'!E130))</f>
        <v/>
      </c>
      <c r="H133" s="28" t="str">
        <f aca="false">IF($A133="","",IF('1-Turizm Rehberliği'!F130="","",'1-Turizm Rehberliği'!F130))</f>
        <v/>
      </c>
      <c r="I133" s="28" t="str">
        <f aca="false">IF($A133="","",IF('1-Turizm Rehberliği'!G130="","",'1-Turizm Rehberliği'!G130))</f>
        <v/>
      </c>
      <c r="J133" s="28" t="str">
        <f aca="false">IF($A133="","",IF('1-Turizm Rehberliği'!H130="","",'1-Turizm Rehberliği'!H130))</f>
        <v/>
      </c>
      <c r="K133" s="28" t="str">
        <f aca="false">IF($A133="","",IF('1-Turizm Rehberliği'!I130="","",'1-Turizm Rehberliği'!I130))</f>
        <v/>
      </c>
      <c r="L133" s="28" t="str">
        <f aca="false">IF($I133="","",MATCH($I133,{"08.00";"09.00";"10.00";"11.00";"12.00";"13.00";"14.00";"15.00";"16.00";"17.00"},0))</f>
        <v/>
      </c>
      <c r="M133" s="28" t="str">
        <f aca="false">IF(OR($L133="",$J133=""),"",$L133+$J133-1)</f>
        <v/>
      </c>
      <c r="N133" s="28" t="str">
        <f aca="false">IF($A133="","",IF(OR($L133="",$M133=""),"",IF($M133&gt;10,"⚠ Saat Taşıyor","")))</f>
        <v/>
      </c>
      <c r="O133" s="28" t="str">
        <f aca="false">IF($A133="","",IF(OR($G133="",$H133="",$L133=""),"",IF(SUMPRODUCT(($A$7:$A$606&lt;&gt;"")*($G$7:$G$606=$G133)*($H$7:$H$606=$H133)*(ROW($A$7:$A$606)&lt;&gt;133)*($L$7:$L$606&lt;=$M133)*($M$7:$M$606&gt;=$L133))&gt;0,"⚠ Çakışma","OK")))</f>
        <v/>
      </c>
      <c r="P133" s="28" t="str">
        <f aca="false">IF($A133="","",IF(OR($K133="",$H133="",$L133=""),"",IF(SUMPRODUCT(($A$7:$A$606&lt;&gt;"")*($K$7:$K$606=$K133)*($H$7:$H$606=$H133)*(ROW($A$7:$A$606)&lt;&gt;133)*($L$7:$L$606&lt;=$M133)*($M$7:$M$606&gt;=$L133))&gt;0,"⚠ Çakışma","OK")))</f>
        <v/>
      </c>
      <c r="Q133" s="28" t="str">
        <f aca="false">IF($A133="","",IF(OR($E133="",$H133="",$L133=""),"",IF(SUMPRODUCT(($A$7:$A$606&lt;&gt;"")*($E$7:$E$606=$E133)*($H$7:$H$606=$H133)*(ROW($A$7:$A$606)&lt;&gt;133)*($L$7:$L$606&lt;=$M133)*($M$7:$M$606&gt;=$L133))&gt;0,"⚠ Çakışma","OK")))</f>
        <v/>
      </c>
      <c r="R133" s="28" t="str">
        <f aca="false">IF($A133="","",IF(OR($N133&lt;&gt;"",$O133="⚠ Çakışma",$P133="⚠ Çakışma",$Q133="⚠ Çakışma"),"⚠ Kontrol Et","✓ Uygun"))</f>
        <v/>
      </c>
    </row>
    <row r="134" customFormat="false" ht="13.5" hidden="false" customHeight="true" outlineLevel="0" collapsed="false">
      <c r="A134" s="28" t="str">
        <f aca="false">IF('1-Turizm Rehberliği'!A131="","","Turizm Rehberliği")</f>
        <v/>
      </c>
      <c r="B134" s="28" t="str">
        <f aca="false">IF($A134="","",IF('1-Turizm Rehberliği'!A131="","",'1-Turizm Rehberliği'!A131))</f>
        <v/>
      </c>
      <c r="C134" s="29" t="str">
        <f aca="false">IF($A134="","",IF('1-Turizm Rehberliği'!B131="","",'1-Turizm Rehberliği'!B131))</f>
        <v/>
      </c>
      <c r="D134" s="28" t="str">
        <f aca="false">IF($A134="","",IF('1-Turizm Rehberliği'!C131="","",'1-Turizm Rehberliği'!C131))</f>
        <v/>
      </c>
      <c r="E134" s="28" t="str">
        <f aca="false">IF($A134="","",$A134&amp;"-"&amp;$D134)</f>
        <v/>
      </c>
      <c r="F134" s="28" t="str">
        <f aca="false">IF($A134="","",IF('1-Turizm Rehberliği'!D131="","",'1-Turizm Rehberliği'!D131))</f>
        <v/>
      </c>
      <c r="G134" s="28" t="str">
        <f aca="false">IF($A134="","",IF('1-Turizm Rehberliği'!E131="","",'1-Turizm Rehberliği'!E131))</f>
        <v/>
      </c>
      <c r="H134" s="28" t="str">
        <f aca="false">IF($A134="","",IF('1-Turizm Rehberliği'!F131="","",'1-Turizm Rehberliği'!F131))</f>
        <v/>
      </c>
      <c r="I134" s="28" t="str">
        <f aca="false">IF($A134="","",IF('1-Turizm Rehberliği'!G131="","",'1-Turizm Rehberliği'!G131))</f>
        <v/>
      </c>
      <c r="J134" s="28" t="str">
        <f aca="false">IF($A134="","",IF('1-Turizm Rehberliği'!H131="","",'1-Turizm Rehberliği'!H131))</f>
        <v/>
      </c>
      <c r="K134" s="28" t="str">
        <f aca="false">IF($A134="","",IF('1-Turizm Rehberliği'!I131="","",'1-Turizm Rehberliği'!I131))</f>
        <v/>
      </c>
      <c r="L134" s="28" t="str">
        <f aca="false">IF($I134="","",MATCH($I134,{"08.00";"09.00";"10.00";"11.00";"12.00";"13.00";"14.00";"15.00";"16.00";"17.00"},0))</f>
        <v/>
      </c>
      <c r="M134" s="28" t="str">
        <f aca="false">IF(OR($L134="",$J134=""),"",$L134+$J134-1)</f>
        <v/>
      </c>
      <c r="N134" s="28" t="str">
        <f aca="false">IF($A134="","",IF(OR($L134="",$M134=""),"",IF($M134&gt;10,"⚠ Saat Taşıyor","")))</f>
        <v/>
      </c>
      <c r="O134" s="28" t="str">
        <f aca="false">IF($A134="","",IF(OR($G134="",$H134="",$L134=""),"",IF(SUMPRODUCT(($A$7:$A$606&lt;&gt;"")*($G$7:$G$606=$G134)*($H$7:$H$606=$H134)*(ROW($A$7:$A$606)&lt;&gt;134)*($L$7:$L$606&lt;=$M134)*($M$7:$M$606&gt;=$L134))&gt;0,"⚠ Çakışma","OK")))</f>
        <v/>
      </c>
      <c r="P134" s="28" t="str">
        <f aca="false">IF($A134="","",IF(OR($K134="",$H134="",$L134=""),"",IF(SUMPRODUCT(($A$7:$A$606&lt;&gt;"")*($K$7:$K$606=$K134)*($H$7:$H$606=$H134)*(ROW($A$7:$A$606)&lt;&gt;134)*($L$7:$L$606&lt;=$M134)*($M$7:$M$606&gt;=$L134))&gt;0,"⚠ Çakışma","OK")))</f>
        <v/>
      </c>
      <c r="Q134" s="28" t="str">
        <f aca="false">IF($A134="","",IF(OR($E134="",$H134="",$L134=""),"",IF(SUMPRODUCT(($A$7:$A$606&lt;&gt;"")*($E$7:$E$606=$E134)*($H$7:$H$606=$H134)*(ROW($A$7:$A$606)&lt;&gt;134)*($L$7:$L$606&lt;=$M134)*($M$7:$M$606&gt;=$L134))&gt;0,"⚠ Çakışma","OK")))</f>
        <v/>
      </c>
      <c r="R134" s="28" t="str">
        <f aca="false">IF($A134="","",IF(OR($N134&lt;&gt;"",$O134="⚠ Çakışma",$P134="⚠ Çakışma",$Q134="⚠ Çakışma"),"⚠ Kontrol Et","✓ Uygun"))</f>
        <v/>
      </c>
    </row>
    <row r="135" customFormat="false" ht="13.5" hidden="false" customHeight="true" outlineLevel="0" collapsed="false">
      <c r="A135" s="28" t="str">
        <f aca="false">IF('1-Turizm Rehberliği'!A132="","","Turizm Rehberliği")</f>
        <v/>
      </c>
      <c r="B135" s="28" t="str">
        <f aca="false">IF($A135="","",IF('1-Turizm Rehberliği'!A132="","",'1-Turizm Rehberliği'!A132))</f>
        <v/>
      </c>
      <c r="C135" s="29" t="str">
        <f aca="false">IF($A135="","",IF('1-Turizm Rehberliği'!B132="","",'1-Turizm Rehberliği'!B132))</f>
        <v/>
      </c>
      <c r="D135" s="28" t="str">
        <f aca="false">IF($A135="","",IF('1-Turizm Rehberliği'!C132="","",'1-Turizm Rehberliği'!C132))</f>
        <v/>
      </c>
      <c r="E135" s="28" t="str">
        <f aca="false">IF($A135="","",$A135&amp;"-"&amp;$D135)</f>
        <v/>
      </c>
      <c r="F135" s="28" t="str">
        <f aca="false">IF($A135="","",IF('1-Turizm Rehberliği'!D132="","",'1-Turizm Rehberliği'!D132))</f>
        <v/>
      </c>
      <c r="G135" s="28" t="str">
        <f aca="false">IF($A135="","",IF('1-Turizm Rehberliği'!E132="","",'1-Turizm Rehberliği'!E132))</f>
        <v/>
      </c>
      <c r="H135" s="28" t="str">
        <f aca="false">IF($A135="","",IF('1-Turizm Rehberliği'!F132="","",'1-Turizm Rehberliği'!F132))</f>
        <v/>
      </c>
      <c r="I135" s="28" t="str">
        <f aca="false">IF($A135="","",IF('1-Turizm Rehberliği'!G132="","",'1-Turizm Rehberliği'!G132))</f>
        <v/>
      </c>
      <c r="J135" s="28" t="str">
        <f aca="false">IF($A135="","",IF('1-Turizm Rehberliği'!H132="","",'1-Turizm Rehberliği'!H132))</f>
        <v/>
      </c>
      <c r="K135" s="28" t="str">
        <f aca="false">IF($A135="","",IF('1-Turizm Rehberliği'!I132="","",'1-Turizm Rehberliği'!I132))</f>
        <v/>
      </c>
      <c r="L135" s="28" t="str">
        <f aca="false">IF($I135="","",MATCH($I135,{"08.00";"09.00";"10.00";"11.00";"12.00";"13.00";"14.00";"15.00";"16.00";"17.00"},0))</f>
        <v/>
      </c>
      <c r="M135" s="28" t="str">
        <f aca="false">IF(OR($L135="",$J135=""),"",$L135+$J135-1)</f>
        <v/>
      </c>
      <c r="N135" s="28" t="str">
        <f aca="false">IF($A135="","",IF(OR($L135="",$M135=""),"",IF($M135&gt;10,"⚠ Saat Taşıyor","")))</f>
        <v/>
      </c>
      <c r="O135" s="28" t="str">
        <f aca="false">IF($A135="","",IF(OR($G135="",$H135="",$L135=""),"",IF(SUMPRODUCT(($A$7:$A$606&lt;&gt;"")*($G$7:$G$606=$G135)*($H$7:$H$606=$H135)*(ROW($A$7:$A$606)&lt;&gt;135)*($L$7:$L$606&lt;=$M135)*($M$7:$M$606&gt;=$L135))&gt;0,"⚠ Çakışma","OK")))</f>
        <v/>
      </c>
      <c r="P135" s="28" t="str">
        <f aca="false">IF($A135="","",IF(OR($K135="",$H135="",$L135=""),"",IF(SUMPRODUCT(($A$7:$A$606&lt;&gt;"")*($K$7:$K$606=$K135)*($H$7:$H$606=$H135)*(ROW($A$7:$A$606)&lt;&gt;135)*($L$7:$L$606&lt;=$M135)*($M$7:$M$606&gt;=$L135))&gt;0,"⚠ Çakışma","OK")))</f>
        <v/>
      </c>
      <c r="Q135" s="28" t="str">
        <f aca="false">IF($A135="","",IF(OR($E135="",$H135="",$L135=""),"",IF(SUMPRODUCT(($A$7:$A$606&lt;&gt;"")*($E$7:$E$606=$E135)*($H$7:$H$606=$H135)*(ROW($A$7:$A$606)&lt;&gt;135)*($L$7:$L$606&lt;=$M135)*($M$7:$M$606&gt;=$L135))&gt;0,"⚠ Çakışma","OK")))</f>
        <v/>
      </c>
      <c r="R135" s="28" t="str">
        <f aca="false">IF($A135="","",IF(OR($N135&lt;&gt;"",$O135="⚠ Çakışma",$P135="⚠ Çakışma",$Q135="⚠ Çakışma"),"⚠ Kontrol Et","✓ Uygun"))</f>
        <v/>
      </c>
    </row>
    <row r="136" customFormat="false" ht="13.5" hidden="false" customHeight="true" outlineLevel="0" collapsed="false">
      <c r="A136" s="28" t="str">
        <f aca="false">IF('1-Turizm Rehberliği'!A133="","","Turizm Rehberliği")</f>
        <v/>
      </c>
      <c r="B136" s="28" t="str">
        <f aca="false">IF($A136="","",IF('1-Turizm Rehberliği'!A133="","",'1-Turizm Rehberliği'!A133))</f>
        <v/>
      </c>
      <c r="C136" s="29" t="str">
        <f aca="false">IF($A136="","",IF('1-Turizm Rehberliği'!B133="","",'1-Turizm Rehberliği'!B133))</f>
        <v/>
      </c>
      <c r="D136" s="28" t="str">
        <f aca="false">IF($A136="","",IF('1-Turizm Rehberliği'!C133="","",'1-Turizm Rehberliği'!C133))</f>
        <v/>
      </c>
      <c r="E136" s="28" t="str">
        <f aca="false">IF($A136="","",$A136&amp;"-"&amp;$D136)</f>
        <v/>
      </c>
      <c r="F136" s="28" t="str">
        <f aca="false">IF($A136="","",IF('1-Turizm Rehberliği'!D133="","",'1-Turizm Rehberliği'!D133))</f>
        <v/>
      </c>
      <c r="G136" s="28" t="str">
        <f aca="false">IF($A136="","",IF('1-Turizm Rehberliği'!E133="","",'1-Turizm Rehberliği'!E133))</f>
        <v/>
      </c>
      <c r="H136" s="28" t="str">
        <f aca="false">IF($A136="","",IF('1-Turizm Rehberliği'!F133="","",'1-Turizm Rehberliği'!F133))</f>
        <v/>
      </c>
      <c r="I136" s="28" t="str">
        <f aca="false">IF($A136="","",IF('1-Turizm Rehberliği'!G133="","",'1-Turizm Rehberliği'!G133))</f>
        <v/>
      </c>
      <c r="J136" s="28" t="str">
        <f aca="false">IF($A136="","",IF('1-Turizm Rehberliği'!H133="","",'1-Turizm Rehberliği'!H133))</f>
        <v/>
      </c>
      <c r="K136" s="28" t="str">
        <f aca="false">IF($A136="","",IF('1-Turizm Rehberliği'!I133="","",'1-Turizm Rehberliği'!I133))</f>
        <v/>
      </c>
      <c r="L136" s="28" t="str">
        <f aca="false">IF($I136="","",MATCH($I136,{"08.00";"09.00";"10.00";"11.00";"12.00";"13.00";"14.00";"15.00";"16.00";"17.00"},0))</f>
        <v/>
      </c>
      <c r="M136" s="28" t="str">
        <f aca="false">IF(OR($L136="",$J136=""),"",$L136+$J136-1)</f>
        <v/>
      </c>
      <c r="N136" s="28" t="str">
        <f aca="false">IF($A136="","",IF(OR($L136="",$M136=""),"",IF($M136&gt;10,"⚠ Saat Taşıyor","")))</f>
        <v/>
      </c>
      <c r="O136" s="28" t="str">
        <f aca="false">IF($A136="","",IF(OR($G136="",$H136="",$L136=""),"",IF(SUMPRODUCT(($A$7:$A$606&lt;&gt;"")*($G$7:$G$606=$G136)*($H$7:$H$606=$H136)*(ROW($A$7:$A$606)&lt;&gt;136)*($L$7:$L$606&lt;=$M136)*($M$7:$M$606&gt;=$L136))&gt;0,"⚠ Çakışma","OK")))</f>
        <v/>
      </c>
      <c r="P136" s="28" t="str">
        <f aca="false">IF($A136="","",IF(OR($K136="",$H136="",$L136=""),"",IF(SUMPRODUCT(($A$7:$A$606&lt;&gt;"")*($K$7:$K$606=$K136)*($H$7:$H$606=$H136)*(ROW($A$7:$A$606)&lt;&gt;136)*($L$7:$L$606&lt;=$M136)*($M$7:$M$606&gt;=$L136))&gt;0,"⚠ Çakışma","OK")))</f>
        <v/>
      </c>
      <c r="Q136" s="28" t="str">
        <f aca="false">IF($A136="","",IF(OR($E136="",$H136="",$L136=""),"",IF(SUMPRODUCT(($A$7:$A$606&lt;&gt;"")*($E$7:$E$606=$E136)*($H$7:$H$606=$H136)*(ROW($A$7:$A$606)&lt;&gt;136)*($L$7:$L$606&lt;=$M136)*($M$7:$M$606&gt;=$L136))&gt;0,"⚠ Çakışma","OK")))</f>
        <v/>
      </c>
      <c r="R136" s="28" t="str">
        <f aca="false">IF($A136="","",IF(OR($N136&lt;&gt;"",$O136="⚠ Çakışma",$P136="⚠ Çakışma",$Q136="⚠ Çakışma"),"⚠ Kontrol Et","✓ Uygun"))</f>
        <v/>
      </c>
    </row>
    <row r="137" customFormat="false" ht="13.5" hidden="false" customHeight="true" outlineLevel="0" collapsed="false">
      <c r="A137" s="28" t="str">
        <f aca="false">IF('1-Turizm Rehberliği'!A134="","","Turizm Rehberliği")</f>
        <v/>
      </c>
      <c r="B137" s="28" t="str">
        <f aca="false">IF($A137="","",IF('1-Turizm Rehberliği'!A134="","",'1-Turizm Rehberliği'!A134))</f>
        <v/>
      </c>
      <c r="C137" s="29" t="str">
        <f aca="false">IF($A137="","",IF('1-Turizm Rehberliği'!B134="","",'1-Turizm Rehberliği'!B134))</f>
        <v/>
      </c>
      <c r="D137" s="28" t="str">
        <f aca="false">IF($A137="","",IF('1-Turizm Rehberliği'!C134="","",'1-Turizm Rehberliği'!C134))</f>
        <v/>
      </c>
      <c r="E137" s="28" t="str">
        <f aca="false">IF($A137="","",$A137&amp;"-"&amp;$D137)</f>
        <v/>
      </c>
      <c r="F137" s="28" t="str">
        <f aca="false">IF($A137="","",IF('1-Turizm Rehberliği'!D134="","",'1-Turizm Rehberliği'!D134))</f>
        <v/>
      </c>
      <c r="G137" s="28" t="str">
        <f aca="false">IF($A137="","",IF('1-Turizm Rehberliği'!E134="","",'1-Turizm Rehberliği'!E134))</f>
        <v/>
      </c>
      <c r="H137" s="28" t="str">
        <f aca="false">IF($A137="","",IF('1-Turizm Rehberliği'!F134="","",'1-Turizm Rehberliği'!F134))</f>
        <v/>
      </c>
      <c r="I137" s="28" t="str">
        <f aca="false">IF($A137="","",IF('1-Turizm Rehberliği'!G134="","",'1-Turizm Rehberliği'!G134))</f>
        <v/>
      </c>
      <c r="J137" s="28" t="str">
        <f aca="false">IF($A137="","",IF('1-Turizm Rehberliği'!H134="","",'1-Turizm Rehberliği'!H134))</f>
        <v/>
      </c>
      <c r="K137" s="28" t="str">
        <f aca="false">IF($A137="","",IF('1-Turizm Rehberliği'!I134="","",'1-Turizm Rehberliği'!I134))</f>
        <v/>
      </c>
      <c r="L137" s="28" t="str">
        <f aca="false">IF($I137="","",MATCH($I137,{"08.00";"09.00";"10.00";"11.00";"12.00";"13.00";"14.00";"15.00";"16.00";"17.00"},0))</f>
        <v/>
      </c>
      <c r="M137" s="28" t="str">
        <f aca="false">IF(OR($L137="",$J137=""),"",$L137+$J137-1)</f>
        <v/>
      </c>
      <c r="N137" s="28" t="str">
        <f aca="false">IF($A137="","",IF(OR($L137="",$M137=""),"",IF($M137&gt;10,"⚠ Saat Taşıyor","")))</f>
        <v/>
      </c>
      <c r="O137" s="28" t="str">
        <f aca="false">IF($A137="","",IF(OR($G137="",$H137="",$L137=""),"",IF(SUMPRODUCT(($A$7:$A$606&lt;&gt;"")*($G$7:$G$606=$G137)*($H$7:$H$606=$H137)*(ROW($A$7:$A$606)&lt;&gt;137)*($L$7:$L$606&lt;=$M137)*($M$7:$M$606&gt;=$L137))&gt;0,"⚠ Çakışma","OK")))</f>
        <v/>
      </c>
      <c r="P137" s="28" t="str">
        <f aca="false">IF($A137="","",IF(OR($K137="",$H137="",$L137=""),"",IF(SUMPRODUCT(($A$7:$A$606&lt;&gt;"")*($K$7:$K$606=$K137)*($H$7:$H$606=$H137)*(ROW($A$7:$A$606)&lt;&gt;137)*($L$7:$L$606&lt;=$M137)*($M$7:$M$606&gt;=$L137))&gt;0,"⚠ Çakışma","OK")))</f>
        <v/>
      </c>
      <c r="Q137" s="28" t="str">
        <f aca="false">IF($A137="","",IF(OR($E137="",$H137="",$L137=""),"",IF(SUMPRODUCT(($A$7:$A$606&lt;&gt;"")*($E$7:$E$606=$E137)*($H$7:$H$606=$H137)*(ROW($A$7:$A$606)&lt;&gt;137)*($L$7:$L$606&lt;=$M137)*($M$7:$M$606&gt;=$L137))&gt;0,"⚠ Çakışma","OK")))</f>
        <v/>
      </c>
      <c r="R137" s="28" t="str">
        <f aca="false">IF($A137="","",IF(OR($N137&lt;&gt;"",$O137="⚠ Çakışma",$P137="⚠ Çakışma",$Q137="⚠ Çakışma"),"⚠ Kontrol Et","✓ Uygun"))</f>
        <v/>
      </c>
    </row>
    <row r="138" customFormat="false" ht="13.5" hidden="false" customHeight="true" outlineLevel="0" collapsed="false">
      <c r="A138" s="28" t="str">
        <f aca="false">IF('1-Turizm Rehberliği'!A135="","","Turizm Rehberliği")</f>
        <v/>
      </c>
      <c r="B138" s="28" t="str">
        <f aca="false">IF($A138="","",IF('1-Turizm Rehberliği'!A135="","",'1-Turizm Rehberliği'!A135))</f>
        <v/>
      </c>
      <c r="C138" s="29" t="str">
        <f aca="false">IF($A138="","",IF('1-Turizm Rehberliği'!B135="","",'1-Turizm Rehberliği'!B135))</f>
        <v/>
      </c>
      <c r="D138" s="28" t="str">
        <f aca="false">IF($A138="","",IF('1-Turizm Rehberliği'!C135="","",'1-Turizm Rehberliği'!C135))</f>
        <v/>
      </c>
      <c r="E138" s="28" t="str">
        <f aca="false">IF($A138="","",$A138&amp;"-"&amp;$D138)</f>
        <v/>
      </c>
      <c r="F138" s="28" t="str">
        <f aca="false">IF($A138="","",IF('1-Turizm Rehberliği'!D135="","",'1-Turizm Rehberliği'!D135))</f>
        <v/>
      </c>
      <c r="G138" s="28" t="str">
        <f aca="false">IF($A138="","",IF('1-Turizm Rehberliği'!E135="","",'1-Turizm Rehberliği'!E135))</f>
        <v/>
      </c>
      <c r="H138" s="28" t="str">
        <f aca="false">IF($A138="","",IF('1-Turizm Rehberliği'!F135="","",'1-Turizm Rehberliği'!F135))</f>
        <v/>
      </c>
      <c r="I138" s="28" t="str">
        <f aca="false">IF($A138="","",IF('1-Turizm Rehberliği'!G135="","",'1-Turizm Rehberliği'!G135))</f>
        <v/>
      </c>
      <c r="J138" s="28" t="str">
        <f aca="false">IF($A138="","",IF('1-Turizm Rehberliği'!H135="","",'1-Turizm Rehberliği'!H135))</f>
        <v/>
      </c>
      <c r="K138" s="28" t="str">
        <f aca="false">IF($A138="","",IF('1-Turizm Rehberliği'!I135="","",'1-Turizm Rehberliği'!I135))</f>
        <v/>
      </c>
      <c r="L138" s="28" t="str">
        <f aca="false">IF($I138="","",MATCH($I138,{"08.00";"09.00";"10.00";"11.00";"12.00";"13.00";"14.00";"15.00";"16.00";"17.00"},0))</f>
        <v/>
      </c>
      <c r="M138" s="28" t="str">
        <f aca="false">IF(OR($L138="",$J138=""),"",$L138+$J138-1)</f>
        <v/>
      </c>
      <c r="N138" s="28" t="str">
        <f aca="false">IF($A138="","",IF(OR($L138="",$M138=""),"",IF($M138&gt;10,"⚠ Saat Taşıyor","")))</f>
        <v/>
      </c>
      <c r="O138" s="28" t="str">
        <f aca="false">IF($A138="","",IF(OR($G138="",$H138="",$L138=""),"",IF(SUMPRODUCT(($A$7:$A$606&lt;&gt;"")*($G$7:$G$606=$G138)*($H$7:$H$606=$H138)*(ROW($A$7:$A$606)&lt;&gt;138)*($L$7:$L$606&lt;=$M138)*($M$7:$M$606&gt;=$L138))&gt;0,"⚠ Çakışma","OK")))</f>
        <v/>
      </c>
      <c r="P138" s="28" t="str">
        <f aca="false">IF($A138="","",IF(OR($K138="",$H138="",$L138=""),"",IF(SUMPRODUCT(($A$7:$A$606&lt;&gt;"")*($K$7:$K$606=$K138)*($H$7:$H$606=$H138)*(ROW($A$7:$A$606)&lt;&gt;138)*($L$7:$L$606&lt;=$M138)*($M$7:$M$606&gt;=$L138))&gt;0,"⚠ Çakışma","OK")))</f>
        <v/>
      </c>
      <c r="Q138" s="28" t="str">
        <f aca="false">IF($A138="","",IF(OR($E138="",$H138="",$L138=""),"",IF(SUMPRODUCT(($A$7:$A$606&lt;&gt;"")*($E$7:$E$606=$E138)*($H$7:$H$606=$H138)*(ROW($A$7:$A$606)&lt;&gt;138)*($L$7:$L$606&lt;=$M138)*($M$7:$M$606&gt;=$L138))&gt;0,"⚠ Çakışma","OK")))</f>
        <v/>
      </c>
      <c r="R138" s="28" t="str">
        <f aca="false">IF($A138="","",IF(OR($N138&lt;&gt;"",$O138="⚠ Çakışma",$P138="⚠ Çakışma",$Q138="⚠ Çakışma"),"⚠ Kontrol Et","✓ Uygun"))</f>
        <v/>
      </c>
    </row>
    <row r="139" customFormat="false" ht="13.5" hidden="false" customHeight="true" outlineLevel="0" collapsed="false">
      <c r="A139" s="28" t="str">
        <f aca="false">IF('1-Turizm Rehberliği'!A136="","","Turizm Rehberliği")</f>
        <v/>
      </c>
      <c r="B139" s="28" t="str">
        <f aca="false">IF($A139="","",IF('1-Turizm Rehberliği'!A136="","",'1-Turizm Rehberliği'!A136))</f>
        <v/>
      </c>
      <c r="C139" s="29" t="str">
        <f aca="false">IF($A139="","",IF('1-Turizm Rehberliği'!B136="","",'1-Turizm Rehberliği'!B136))</f>
        <v/>
      </c>
      <c r="D139" s="28" t="str">
        <f aca="false">IF($A139="","",IF('1-Turizm Rehberliği'!C136="","",'1-Turizm Rehberliği'!C136))</f>
        <v/>
      </c>
      <c r="E139" s="28" t="str">
        <f aca="false">IF($A139="","",$A139&amp;"-"&amp;$D139)</f>
        <v/>
      </c>
      <c r="F139" s="28" t="str">
        <f aca="false">IF($A139="","",IF('1-Turizm Rehberliği'!D136="","",'1-Turizm Rehberliği'!D136))</f>
        <v/>
      </c>
      <c r="G139" s="28" t="str">
        <f aca="false">IF($A139="","",IF('1-Turizm Rehberliği'!E136="","",'1-Turizm Rehberliği'!E136))</f>
        <v/>
      </c>
      <c r="H139" s="28" t="str">
        <f aca="false">IF($A139="","",IF('1-Turizm Rehberliği'!F136="","",'1-Turizm Rehberliği'!F136))</f>
        <v/>
      </c>
      <c r="I139" s="28" t="str">
        <f aca="false">IF($A139="","",IF('1-Turizm Rehberliği'!G136="","",'1-Turizm Rehberliği'!G136))</f>
        <v/>
      </c>
      <c r="J139" s="28" t="str">
        <f aca="false">IF($A139="","",IF('1-Turizm Rehberliği'!H136="","",'1-Turizm Rehberliği'!H136))</f>
        <v/>
      </c>
      <c r="K139" s="28" t="str">
        <f aca="false">IF($A139="","",IF('1-Turizm Rehberliği'!I136="","",'1-Turizm Rehberliği'!I136))</f>
        <v/>
      </c>
      <c r="L139" s="28" t="str">
        <f aca="false">IF($I139="","",MATCH($I139,{"08.00";"09.00";"10.00";"11.00";"12.00";"13.00";"14.00";"15.00";"16.00";"17.00"},0))</f>
        <v/>
      </c>
      <c r="M139" s="28" t="str">
        <f aca="false">IF(OR($L139="",$J139=""),"",$L139+$J139-1)</f>
        <v/>
      </c>
      <c r="N139" s="28" t="str">
        <f aca="false">IF($A139="","",IF(OR($L139="",$M139=""),"",IF($M139&gt;10,"⚠ Saat Taşıyor","")))</f>
        <v/>
      </c>
      <c r="O139" s="28" t="str">
        <f aca="false">IF($A139="","",IF(OR($G139="",$H139="",$L139=""),"",IF(SUMPRODUCT(($A$7:$A$606&lt;&gt;"")*($G$7:$G$606=$G139)*($H$7:$H$606=$H139)*(ROW($A$7:$A$606)&lt;&gt;139)*($L$7:$L$606&lt;=$M139)*($M$7:$M$606&gt;=$L139))&gt;0,"⚠ Çakışma","OK")))</f>
        <v/>
      </c>
      <c r="P139" s="28" t="str">
        <f aca="false">IF($A139="","",IF(OR($K139="",$H139="",$L139=""),"",IF(SUMPRODUCT(($A$7:$A$606&lt;&gt;"")*($K$7:$K$606=$K139)*($H$7:$H$606=$H139)*(ROW($A$7:$A$606)&lt;&gt;139)*($L$7:$L$606&lt;=$M139)*($M$7:$M$606&gt;=$L139))&gt;0,"⚠ Çakışma","OK")))</f>
        <v/>
      </c>
      <c r="Q139" s="28" t="str">
        <f aca="false">IF($A139="","",IF(OR($E139="",$H139="",$L139=""),"",IF(SUMPRODUCT(($A$7:$A$606&lt;&gt;"")*($E$7:$E$606=$E139)*($H$7:$H$606=$H139)*(ROW($A$7:$A$606)&lt;&gt;139)*($L$7:$L$606&lt;=$M139)*($M$7:$M$606&gt;=$L139))&gt;0,"⚠ Çakışma","OK")))</f>
        <v/>
      </c>
      <c r="R139" s="28" t="str">
        <f aca="false">IF($A139="","",IF(OR($N139&lt;&gt;"",$O139="⚠ Çakışma",$P139="⚠ Çakışma",$Q139="⚠ Çakışma"),"⚠ Kontrol Et","✓ Uygun"))</f>
        <v/>
      </c>
    </row>
    <row r="140" customFormat="false" ht="13.5" hidden="false" customHeight="true" outlineLevel="0" collapsed="false">
      <c r="A140" s="28" t="str">
        <f aca="false">IF('1-Turizm Rehberliği'!A137="","","Turizm Rehberliği")</f>
        <v/>
      </c>
      <c r="B140" s="28" t="str">
        <f aca="false">IF($A140="","",IF('1-Turizm Rehberliği'!A137="","",'1-Turizm Rehberliği'!A137))</f>
        <v/>
      </c>
      <c r="C140" s="29" t="str">
        <f aca="false">IF($A140="","",IF('1-Turizm Rehberliği'!B137="","",'1-Turizm Rehberliği'!B137))</f>
        <v/>
      </c>
      <c r="D140" s="28" t="str">
        <f aca="false">IF($A140="","",IF('1-Turizm Rehberliği'!C137="","",'1-Turizm Rehberliği'!C137))</f>
        <v/>
      </c>
      <c r="E140" s="28" t="str">
        <f aca="false">IF($A140="","",$A140&amp;"-"&amp;$D140)</f>
        <v/>
      </c>
      <c r="F140" s="28" t="str">
        <f aca="false">IF($A140="","",IF('1-Turizm Rehberliği'!D137="","",'1-Turizm Rehberliği'!D137))</f>
        <v/>
      </c>
      <c r="G140" s="28" t="str">
        <f aca="false">IF($A140="","",IF('1-Turizm Rehberliği'!E137="","",'1-Turizm Rehberliği'!E137))</f>
        <v/>
      </c>
      <c r="H140" s="28" t="str">
        <f aca="false">IF($A140="","",IF('1-Turizm Rehberliği'!F137="","",'1-Turizm Rehberliği'!F137))</f>
        <v/>
      </c>
      <c r="I140" s="28" t="str">
        <f aca="false">IF($A140="","",IF('1-Turizm Rehberliği'!G137="","",'1-Turizm Rehberliği'!G137))</f>
        <v/>
      </c>
      <c r="J140" s="28" t="str">
        <f aca="false">IF($A140="","",IF('1-Turizm Rehberliği'!H137="","",'1-Turizm Rehberliği'!H137))</f>
        <v/>
      </c>
      <c r="K140" s="28" t="str">
        <f aca="false">IF($A140="","",IF('1-Turizm Rehberliği'!I137="","",'1-Turizm Rehberliği'!I137))</f>
        <v/>
      </c>
      <c r="L140" s="28" t="str">
        <f aca="false">IF($I140="","",MATCH($I140,{"08.00";"09.00";"10.00";"11.00";"12.00";"13.00";"14.00";"15.00";"16.00";"17.00"},0))</f>
        <v/>
      </c>
      <c r="M140" s="28" t="str">
        <f aca="false">IF(OR($L140="",$J140=""),"",$L140+$J140-1)</f>
        <v/>
      </c>
      <c r="N140" s="28" t="str">
        <f aca="false">IF($A140="","",IF(OR($L140="",$M140=""),"",IF($M140&gt;10,"⚠ Saat Taşıyor","")))</f>
        <v/>
      </c>
      <c r="O140" s="28" t="str">
        <f aca="false">IF($A140="","",IF(OR($G140="",$H140="",$L140=""),"",IF(SUMPRODUCT(($A$7:$A$606&lt;&gt;"")*($G$7:$G$606=$G140)*($H$7:$H$606=$H140)*(ROW($A$7:$A$606)&lt;&gt;140)*($L$7:$L$606&lt;=$M140)*($M$7:$M$606&gt;=$L140))&gt;0,"⚠ Çakışma","OK")))</f>
        <v/>
      </c>
      <c r="P140" s="28" t="str">
        <f aca="false">IF($A140="","",IF(OR($K140="",$H140="",$L140=""),"",IF(SUMPRODUCT(($A$7:$A$606&lt;&gt;"")*($K$7:$K$606=$K140)*($H$7:$H$606=$H140)*(ROW($A$7:$A$606)&lt;&gt;140)*($L$7:$L$606&lt;=$M140)*($M$7:$M$606&gt;=$L140))&gt;0,"⚠ Çakışma","OK")))</f>
        <v/>
      </c>
      <c r="Q140" s="28" t="str">
        <f aca="false">IF($A140="","",IF(OR($E140="",$H140="",$L140=""),"",IF(SUMPRODUCT(($A$7:$A$606&lt;&gt;"")*($E$7:$E$606=$E140)*($H$7:$H$606=$H140)*(ROW($A$7:$A$606)&lt;&gt;140)*($L$7:$L$606&lt;=$M140)*($M$7:$M$606&gt;=$L140))&gt;0,"⚠ Çakışma","OK")))</f>
        <v/>
      </c>
      <c r="R140" s="28" t="str">
        <f aca="false">IF($A140="","",IF(OR($N140&lt;&gt;"",$O140="⚠ Çakışma",$P140="⚠ Çakışma",$Q140="⚠ Çakışma"),"⚠ Kontrol Et","✓ Uygun"))</f>
        <v/>
      </c>
    </row>
    <row r="141" customFormat="false" ht="13.5" hidden="false" customHeight="true" outlineLevel="0" collapsed="false">
      <c r="A141" s="28" t="str">
        <f aca="false">IF('1-Turizm Rehberliği'!A138="","","Turizm Rehberliği")</f>
        <v/>
      </c>
      <c r="B141" s="28" t="str">
        <f aca="false">IF($A141="","",IF('1-Turizm Rehberliği'!A138="","",'1-Turizm Rehberliği'!A138))</f>
        <v/>
      </c>
      <c r="C141" s="29" t="str">
        <f aca="false">IF($A141="","",IF('1-Turizm Rehberliği'!B138="","",'1-Turizm Rehberliği'!B138))</f>
        <v/>
      </c>
      <c r="D141" s="28" t="str">
        <f aca="false">IF($A141="","",IF('1-Turizm Rehberliği'!C138="","",'1-Turizm Rehberliği'!C138))</f>
        <v/>
      </c>
      <c r="E141" s="28" t="str">
        <f aca="false">IF($A141="","",$A141&amp;"-"&amp;$D141)</f>
        <v/>
      </c>
      <c r="F141" s="28" t="str">
        <f aca="false">IF($A141="","",IF('1-Turizm Rehberliği'!D138="","",'1-Turizm Rehberliği'!D138))</f>
        <v/>
      </c>
      <c r="G141" s="28" t="str">
        <f aca="false">IF($A141="","",IF('1-Turizm Rehberliği'!E138="","",'1-Turizm Rehberliği'!E138))</f>
        <v/>
      </c>
      <c r="H141" s="28" t="str">
        <f aca="false">IF($A141="","",IF('1-Turizm Rehberliği'!F138="","",'1-Turizm Rehberliği'!F138))</f>
        <v/>
      </c>
      <c r="I141" s="28" t="str">
        <f aca="false">IF($A141="","",IF('1-Turizm Rehberliği'!G138="","",'1-Turizm Rehberliği'!G138))</f>
        <v/>
      </c>
      <c r="J141" s="28" t="str">
        <f aca="false">IF($A141="","",IF('1-Turizm Rehberliği'!H138="","",'1-Turizm Rehberliği'!H138))</f>
        <v/>
      </c>
      <c r="K141" s="28" t="str">
        <f aca="false">IF($A141="","",IF('1-Turizm Rehberliği'!I138="","",'1-Turizm Rehberliği'!I138))</f>
        <v/>
      </c>
      <c r="L141" s="28" t="str">
        <f aca="false">IF($I141="","",MATCH($I141,{"08.00";"09.00";"10.00";"11.00";"12.00";"13.00";"14.00";"15.00";"16.00";"17.00"},0))</f>
        <v/>
      </c>
      <c r="M141" s="28" t="str">
        <f aca="false">IF(OR($L141="",$J141=""),"",$L141+$J141-1)</f>
        <v/>
      </c>
      <c r="N141" s="28" t="str">
        <f aca="false">IF($A141="","",IF(OR($L141="",$M141=""),"",IF($M141&gt;10,"⚠ Saat Taşıyor","")))</f>
        <v/>
      </c>
      <c r="O141" s="28" t="str">
        <f aca="false">IF($A141="","",IF(OR($G141="",$H141="",$L141=""),"",IF(SUMPRODUCT(($A$7:$A$606&lt;&gt;"")*($G$7:$G$606=$G141)*($H$7:$H$606=$H141)*(ROW($A$7:$A$606)&lt;&gt;141)*($L$7:$L$606&lt;=$M141)*($M$7:$M$606&gt;=$L141))&gt;0,"⚠ Çakışma","OK")))</f>
        <v/>
      </c>
      <c r="P141" s="28" t="str">
        <f aca="false">IF($A141="","",IF(OR($K141="",$H141="",$L141=""),"",IF(SUMPRODUCT(($A$7:$A$606&lt;&gt;"")*($K$7:$K$606=$K141)*($H$7:$H$606=$H141)*(ROW($A$7:$A$606)&lt;&gt;141)*($L$7:$L$606&lt;=$M141)*($M$7:$M$606&gt;=$L141))&gt;0,"⚠ Çakışma","OK")))</f>
        <v/>
      </c>
      <c r="Q141" s="28" t="str">
        <f aca="false">IF($A141="","",IF(OR($E141="",$H141="",$L141=""),"",IF(SUMPRODUCT(($A$7:$A$606&lt;&gt;"")*($E$7:$E$606=$E141)*($H$7:$H$606=$H141)*(ROW($A$7:$A$606)&lt;&gt;141)*($L$7:$L$606&lt;=$M141)*($M$7:$M$606&gt;=$L141))&gt;0,"⚠ Çakışma","OK")))</f>
        <v/>
      </c>
      <c r="R141" s="28" t="str">
        <f aca="false">IF($A141="","",IF(OR($N141&lt;&gt;"",$O141="⚠ Çakışma",$P141="⚠ Çakışma",$Q141="⚠ Çakışma"),"⚠ Kontrol Et","✓ Uygun"))</f>
        <v/>
      </c>
    </row>
    <row r="142" customFormat="false" ht="13.5" hidden="false" customHeight="true" outlineLevel="0" collapsed="false">
      <c r="A142" s="28" t="str">
        <f aca="false">IF('1-Turizm Rehberliği'!A139="","","Turizm Rehberliği")</f>
        <v/>
      </c>
      <c r="B142" s="28" t="str">
        <f aca="false">IF($A142="","",IF('1-Turizm Rehberliği'!A139="","",'1-Turizm Rehberliği'!A139))</f>
        <v/>
      </c>
      <c r="C142" s="29" t="str">
        <f aca="false">IF($A142="","",IF('1-Turizm Rehberliği'!B139="","",'1-Turizm Rehberliği'!B139))</f>
        <v/>
      </c>
      <c r="D142" s="28" t="str">
        <f aca="false">IF($A142="","",IF('1-Turizm Rehberliği'!C139="","",'1-Turizm Rehberliği'!C139))</f>
        <v/>
      </c>
      <c r="E142" s="28" t="str">
        <f aca="false">IF($A142="","",$A142&amp;"-"&amp;$D142)</f>
        <v/>
      </c>
      <c r="F142" s="28" t="str">
        <f aca="false">IF($A142="","",IF('1-Turizm Rehberliği'!D139="","",'1-Turizm Rehberliği'!D139))</f>
        <v/>
      </c>
      <c r="G142" s="28" t="str">
        <f aca="false">IF($A142="","",IF('1-Turizm Rehberliği'!E139="","",'1-Turizm Rehberliği'!E139))</f>
        <v/>
      </c>
      <c r="H142" s="28" t="str">
        <f aca="false">IF($A142="","",IF('1-Turizm Rehberliği'!F139="","",'1-Turizm Rehberliği'!F139))</f>
        <v/>
      </c>
      <c r="I142" s="28" t="str">
        <f aca="false">IF($A142="","",IF('1-Turizm Rehberliği'!G139="","",'1-Turizm Rehberliği'!G139))</f>
        <v/>
      </c>
      <c r="J142" s="28" t="str">
        <f aca="false">IF($A142="","",IF('1-Turizm Rehberliği'!H139="","",'1-Turizm Rehberliği'!H139))</f>
        <v/>
      </c>
      <c r="K142" s="28" t="str">
        <f aca="false">IF($A142="","",IF('1-Turizm Rehberliği'!I139="","",'1-Turizm Rehberliği'!I139))</f>
        <v/>
      </c>
      <c r="L142" s="28" t="str">
        <f aca="false">IF($I142="","",MATCH($I142,{"08.00";"09.00";"10.00";"11.00";"12.00";"13.00";"14.00";"15.00";"16.00";"17.00"},0))</f>
        <v/>
      </c>
      <c r="M142" s="28" t="str">
        <f aca="false">IF(OR($L142="",$J142=""),"",$L142+$J142-1)</f>
        <v/>
      </c>
      <c r="N142" s="28" t="str">
        <f aca="false">IF($A142="","",IF(OR($L142="",$M142=""),"",IF($M142&gt;10,"⚠ Saat Taşıyor","")))</f>
        <v/>
      </c>
      <c r="O142" s="28" t="str">
        <f aca="false">IF($A142="","",IF(OR($G142="",$H142="",$L142=""),"",IF(SUMPRODUCT(($A$7:$A$606&lt;&gt;"")*($G$7:$G$606=$G142)*($H$7:$H$606=$H142)*(ROW($A$7:$A$606)&lt;&gt;142)*($L$7:$L$606&lt;=$M142)*($M$7:$M$606&gt;=$L142))&gt;0,"⚠ Çakışma","OK")))</f>
        <v/>
      </c>
      <c r="P142" s="28" t="str">
        <f aca="false">IF($A142="","",IF(OR($K142="",$H142="",$L142=""),"",IF(SUMPRODUCT(($A$7:$A$606&lt;&gt;"")*($K$7:$K$606=$K142)*($H$7:$H$606=$H142)*(ROW($A$7:$A$606)&lt;&gt;142)*($L$7:$L$606&lt;=$M142)*($M$7:$M$606&gt;=$L142))&gt;0,"⚠ Çakışma","OK")))</f>
        <v/>
      </c>
      <c r="Q142" s="28" t="str">
        <f aca="false">IF($A142="","",IF(OR($E142="",$H142="",$L142=""),"",IF(SUMPRODUCT(($A$7:$A$606&lt;&gt;"")*($E$7:$E$606=$E142)*($H$7:$H$606=$H142)*(ROW($A$7:$A$606)&lt;&gt;142)*($L$7:$L$606&lt;=$M142)*($M$7:$M$606&gt;=$L142))&gt;0,"⚠ Çakışma","OK")))</f>
        <v/>
      </c>
      <c r="R142" s="28" t="str">
        <f aca="false">IF($A142="","",IF(OR($N142&lt;&gt;"",$O142="⚠ Çakışma",$P142="⚠ Çakışma",$Q142="⚠ Çakışma"),"⚠ Kontrol Et","✓ Uygun"))</f>
        <v/>
      </c>
    </row>
    <row r="143" customFormat="false" ht="13.5" hidden="false" customHeight="true" outlineLevel="0" collapsed="false">
      <c r="A143" s="28" t="str">
        <f aca="false">IF('1-Turizm Rehberliği'!A140="","","Turizm Rehberliği")</f>
        <v/>
      </c>
      <c r="B143" s="28" t="str">
        <f aca="false">IF($A143="","",IF('1-Turizm Rehberliği'!A140="","",'1-Turizm Rehberliği'!A140))</f>
        <v/>
      </c>
      <c r="C143" s="29" t="str">
        <f aca="false">IF($A143="","",IF('1-Turizm Rehberliği'!B140="","",'1-Turizm Rehberliği'!B140))</f>
        <v/>
      </c>
      <c r="D143" s="28" t="str">
        <f aca="false">IF($A143="","",IF('1-Turizm Rehberliği'!C140="","",'1-Turizm Rehberliği'!C140))</f>
        <v/>
      </c>
      <c r="E143" s="28" t="str">
        <f aca="false">IF($A143="","",$A143&amp;"-"&amp;$D143)</f>
        <v/>
      </c>
      <c r="F143" s="28" t="str">
        <f aca="false">IF($A143="","",IF('1-Turizm Rehberliği'!D140="","",'1-Turizm Rehberliği'!D140))</f>
        <v/>
      </c>
      <c r="G143" s="28" t="str">
        <f aca="false">IF($A143="","",IF('1-Turizm Rehberliği'!E140="","",'1-Turizm Rehberliği'!E140))</f>
        <v/>
      </c>
      <c r="H143" s="28" t="str">
        <f aca="false">IF($A143="","",IF('1-Turizm Rehberliği'!F140="","",'1-Turizm Rehberliği'!F140))</f>
        <v/>
      </c>
      <c r="I143" s="28" t="str">
        <f aca="false">IF($A143="","",IF('1-Turizm Rehberliği'!G140="","",'1-Turizm Rehberliği'!G140))</f>
        <v/>
      </c>
      <c r="J143" s="28" t="str">
        <f aca="false">IF($A143="","",IF('1-Turizm Rehberliği'!H140="","",'1-Turizm Rehberliği'!H140))</f>
        <v/>
      </c>
      <c r="K143" s="28" t="str">
        <f aca="false">IF($A143="","",IF('1-Turizm Rehberliği'!I140="","",'1-Turizm Rehberliği'!I140))</f>
        <v/>
      </c>
      <c r="L143" s="28" t="str">
        <f aca="false">IF($I143="","",MATCH($I143,{"08.00";"09.00";"10.00";"11.00";"12.00";"13.00";"14.00";"15.00";"16.00";"17.00"},0))</f>
        <v/>
      </c>
      <c r="M143" s="28" t="str">
        <f aca="false">IF(OR($L143="",$J143=""),"",$L143+$J143-1)</f>
        <v/>
      </c>
      <c r="N143" s="28" t="str">
        <f aca="false">IF($A143="","",IF(OR($L143="",$M143=""),"",IF($M143&gt;10,"⚠ Saat Taşıyor","")))</f>
        <v/>
      </c>
      <c r="O143" s="28" t="str">
        <f aca="false">IF($A143="","",IF(OR($G143="",$H143="",$L143=""),"",IF(SUMPRODUCT(($A$7:$A$606&lt;&gt;"")*($G$7:$G$606=$G143)*($H$7:$H$606=$H143)*(ROW($A$7:$A$606)&lt;&gt;143)*($L$7:$L$606&lt;=$M143)*($M$7:$M$606&gt;=$L143))&gt;0,"⚠ Çakışma","OK")))</f>
        <v/>
      </c>
      <c r="P143" s="28" t="str">
        <f aca="false">IF($A143="","",IF(OR($K143="",$H143="",$L143=""),"",IF(SUMPRODUCT(($A$7:$A$606&lt;&gt;"")*($K$7:$K$606=$K143)*($H$7:$H$606=$H143)*(ROW($A$7:$A$606)&lt;&gt;143)*($L$7:$L$606&lt;=$M143)*($M$7:$M$606&gt;=$L143))&gt;0,"⚠ Çakışma","OK")))</f>
        <v/>
      </c>
      <c r="Q143" s="28" t="str">
        <f aca="false">IF($A143="","",IF(OR($E143="",$H143="",$L143=""),"",IF(SUMPRODUCT(($A$7:$A$606&lt;&gt;"")*($E$7:$E$606=$E143)*($H$7:$H$606=$H143)*(ROW($A$7:$A$606)&lt;&gt;143)*($L$7:$L$606&lt;=$M143)*($M$7:$M$606&gt;=$L143))&gt;0,"⚠ Çakışma","OK")))</f>
        <v/>
      </c>
      <c r="R143" s="28" t="str">
        <f aca="false">IF($A143="","",IF(OR($N143&lt;&gt;"",$O143="⚠ Çakışma",$P143="⚠ Çakışma",$Q143="⚠ Çakışma"),"⚠ Kontrol Et","✓ Uygun"))</f>
        <v/>
      </c>
    </row>
    <row r="144" customFormat="false" ht="13.5" hidden="false" customHeight="true" outlineLevel="0" collapsed="false">
      <c r="A144" s="28" t="str">
        <f aca="false">IF('1-Turizm Rehberliği'!A141="","","Turizm Rehberliği")</f>
        <v/>
      </c>
      <c r="B144" s="28" t="str">
        <f aca="false">IF($A144="","",IF('1-Turizm Rehberliği'!A141="","",'1-Turizm Rehberliği'!A141))</f>
        <v/>
      </c>
      <c r="C144" s="29" t="str">
        <f aca="false">IF($A144="","",IF('1-Turizm Rehberliği'!B141="","",'1-Turizm Rehberliği'!B141))</f>
        <v/>
      </c>
      <c r="D144" s="28" t="str">
        <f aca="false">IF($A144="","",IF('1-Turizm Rehberliği'!C141="","",'1-Turizm Rehberliği'!C141))</f>
        <v/>
      </c>
      <c r="E144" s="28" t="str">
        <f aca="false">IF($A144="","",$A144&amp;"-"&amp;$D144)</f>
        <v/>
      </c>
      <c r="F144" s="28" t="str">
        <f aca="false">IF($A144="","",IF('1-Turizm Rehberliği'!D141="","",'1-Turizm Rehberliği'!D141))</f>
        <v/>
      </c>
      <c r="G144" s="28" t="str">
        <f aca="false">IF($A144="","",IF('1-Turizm Rehberliği'!E141="","",'1-Turizm Rehberliği'!E141))</f>
        <v/>
      </c>
      <c r="H144" s="28" t="str">
        <f aca="false">IF($A144="","",IF('1-Turizm Rehberliği'!F141="","",'1-Turizm Rehberliği'!F141))</f>
        <v/>
      </c>
      <c r="I144" s="28" t="str">
        <f aca="false">IF($A144="","",IF('1-Turizm Rehberliği'!G141="","",'1-Turizm Rehberliği'!G141))</f>
        <v/>
      </c>
      <c r="J144" s="28" t="str">
        <f aca="false">IF($A144="","",IF('1-Turizm Rehberliği'!H141="","",'1-Turizm Rehberliği'!H141))</f>
        <v/>
      </c>
      <c r="K144" s="28" t="str">
        <f aca="false">IF($A144="","",IF('1-Turizm Rehberliği'!I141="","",'1-Turizm Rehberliği'!I141))</f>
        <v/>
      </c>
      <c r="L144" s="28" t="str">
        <f aca="false">IF($I144="","",MATCH($I144,{"08.00";"09.00";"10.00";"11.00";"12.00";"13.00";"14.00";"15.00";"16.00";"17.00"},0))</f>
        <v/>
      </c>
      <c r="M144" s="28" t="str">
        <f aca="false">IF(OR($L144="",$J144=""),"",$L144+$J144-1)</f>
        <v/>
      </c>
      <c r="N144" s="28" t="str">
        <f aca="false">IF($A144="","",IF(OR($L144="",$M144=""),"",IF($M144&gt;10,"⚠ Saat Taşıyor","")))</f>
        <v/>
      </c>
      <c r="O144" s="28" t="str">
        <f aca="false">IF($A144="","",IF(OR($G144="",$H144="",$L144=""),"",IF(SUMPRODUCT(($A$7:$A$606&lt;&gt;"")*($G$7:$G$606=$G144)*($H$7:$H$606=$H144)*(ROW($A$7:$A$606)&lt;&gt;144)*($L$7:$L$606&lt;=$M144)*($M$7:$M$606&gt;=$L144))&gt;0,"⚠ Çakışma","OK")))</f>
        <v/>
      </c>
      <c r="P144" s="28" t="str">
        <f aca="false">IF($A144="","",IF(OR($K144="",$H144="",$L144=""),"",IF(SUMPRODUCT(($A$7:$A$606&lt;&gt;"")*($K$7:$K$606=$K144)*($H$7:$H$606=$H144)*(ROW($A$7:$A$606)&lt;&gt;144)*($L$7:$L$606&lt;=$M144)*($M$7:$M$606&gt;=$L144))&gt;0,"⚠ Çakışma","OK")))</f>
        <v/>
      </c>
      <c r="Q144" s="28" t="str">
        <f aca="false">IF($A144="","",IF(OR($E144="",$H144="",$L144=""),"",IF(SUMPRODUCT(($A$7:$A$606&lt;&gt;"")*($E$7:$E$606=$E144)*($H$7:$H$606=$H144)*(ROW($A$7:$A$606)&lt;&gt;144)*($L$7:$L$606&lt;=$M144)*($M$7:$M$606&gt;=$L144))&gt;0,"⚠ Çakışma","OK")))</f>
        <v/>
      </c>
      <c r="R144" s="28" t="str">
        <f aca="false">IF($A144="","",IF(OR($N144&lt;&gt;"",$O144="⚠ Çakışma",$P144="⚠ Çakışma",$Q144="⚠ Çakışma"),"⚠ Kontrol Et","✓ Uygun"))</f>
        <v/>
      </c>
    </row>
    <row r="145" customFormat="false" ht="13.5" hidden="false" customHeight="true" outlineLevel="0" collapsed="false">
      <c r="A145" s="28" t="str">
        <f aca="false">IF('1-Turizm Rehberliği'!A142="","","Turizm Rehberliği")</f>
        <v/>
      </c>
      <c r="B145" s="28" t="str">
        <f aca="false">IF($A145="","",IF('1-Turizm Rehberliği'!A142="","",'1-Turizm Rehberliği'!A142))</f>
        <v/>
      </c>
      <c r="C145" s="29" t="str">
        <f aca="false">IF($A145="","",IF('1-Turizm Rehberliği'!B142="","",'1-Turizm Rehberliği'!B142))</f>
        <v/>
      </c>
      <c r="D145" s="28" t="str">
        <f aca="false">IF($A145="","",IF('1-Turizm Rehberliği'!C142="","",'1-Turizm Rehberliği'!C142))</f>
        <v/>
      </c>
      <c r="E145" s="28" t="str">
        <f aca="false">IF($A145="","",$A145&amp;"-"&amp;$D145)</f>
        <v/>
      </c>
      <c r="F145" s="28" t="str">
        <f aca="false">IF($A145="","",IF('1-Turizm Rehberliği'!D142="","",'1-Turizm Rehberliği'!D142))</f>
        <v/>
      </c>
      <c r="G145" s="28" t="str">
        <f aca="false">IF($A145="","",IF('1-Turizm Rehberliği'!E142="","",'1-Turizm Rehberliği'!E142))</f>
        <v/>
      </c>
      <c r="H145" s="28" t="str">
        <f aca="false">IF($A145="","",IF('1-Turizm Rehberliği'!F142="","",'1-Turizm Rehberliği'!F142))</f>
        <v/>
      </c>
      <c r="I145" s="28" t="str">
        <f aca="false">IF($A145="","",IF('1-Turizm Rehberliği'!G142="","",'1-Turizm Rehberliği'!G142))</f>
        <v/>
      </c>
      <c r="J145" s="28" t="str">
        <f aca="false">IF($A145="","",IF('1-Turizm Rehberliği'!H142="","",'1-Turizm Rehberliği'!H142))</f>
        <v/>
      </c>
      <c r="K145" s="28" t="str">
        <f aca="false">IF($A145="","",IF('1-Turizm Rehberliği'!I142="","",'1-Turizm Rehberliği'!I142))</f>
        <v/>
      </c>
      <c r="L145" s="28" t="str">
        <f aca="false">IF($I145="","",MATCH($I145,{"08.00";"09.00";"10.00";"11.00";"12.00";"13.00";"14.00";"15.00";"16.00";"17.00"},0))</f>
        <v/>
      </c>
      <c r="M145" s="28" t="str">
        <f aca="false">IF(OR($L145="",$J145=""),"",$L145+$J145-1)</f>
        <v/>
      </c>
      <c r="N145" s="28" t="str">
        <f aca="false">IF($A145="","",IF(OR($L145="",$M145=""),"",IF($M145&gt;10,"⚠ Saat Taşıyor","")))</f>
        <v/>
      </c>
      <c r="O145" s="28" t="str">
        <f aca="false">IF($A145="","",IF(OR($G145="",$H145="",$L145=""),"",IF(SUMPRODUCT(($A$7:$A$606&lt;&gt;"")*($G$7:$G$606=$G145)*($H$7:$H$606=$H145)*(ROW($A$7:$A$606)&lt;&gt;145)*($L$7:$L$606&lt;=$M145)*($M$7:$M$606&gt;=$L145))&gt;0,"⚠ Çakışma","OK")))</f>
        <v/>
      </c>
      <c r="P145" s="28" t="str">
        <f aca="false">IF($A145="","",IF(OR($K145="",$H145="",$L145=""),"",IF(SUMPRODUCT(($A$7:$A$606&lt;&gt;"")*($K$7:$K$606=$K145)*($H$7:$H$606=$H145)*(ROW($A$7:$A$606)&lt;&gt;145)*($L$7:$L$606&lt;=$M145)*($M$7:$M$606&gt;=$L145))&gt;0,"⚠ Çakışma","OK")))</f>
        <v/>
      </c>
      <c r="Q145" s="28" t="str">
        <f aca="false">IF($A145="","",IF(OR($E145="",$H145="",$L145=""),"",IF(SUMPRODUCT(($A$7:$A$606&lt;&gt;"")*($E$7:$E$606=$E145)*($H$7:$H$606=$H145)*(ROW($A$7:$A$606)&lt;&gt;145)*($L$7:$L$606&lt;=$M145)*($M$7:$M$606&gt;=$L145))&gt;0,"⚠ Çakışma","OK")))</f>
        <v/>
      </c>
      <c r="R145" s="28" t="str">
        <f aca="false">IF($A145="","",IF(OR($N145&lt;&gt;"",$O145="⚠ Çakışma",$P145="⚠ Çakışma",$Q145="⚠ Çakışma"),"⚠ Kontrol Et","✓ Uygun"))</f>
        <v/>
      </c>
    </row>
    <row r="146" customFormat="false" ht="13.5" hidden="false" customHeight="true" outlineLevel="0" collapsed="false">
      <c r="A146" s="28" t="str">
        <f aca="false">IF('1-Turizm Rehberliği'!A143="","","Turizm Rehberliği")</f>
        <v/>
      </c>
      <c r="B146" s="28" t="str">
        <f aca="false">IF($A146="","",IF('1-Turizm Rehberliği'!A143="","",'1-Turizm Rehberliği'!A143))</f>
        <v/>
      </c>
      <c r="C146" s="29" t="str">
        <f aca="false">IF($A146="","",IF('1-Turizm Rehberliği'!B143="","",'1-Turizm Rehberliği'!B143))</f>
        <v/>
      </c>
      <c r="D146" s="28" t="str">
        <f aca="false">IF($A146="","",IF('1-Turizm Rehberliği'!C143="","",'1-Turizm Rehberliği'!C143))</f>
        <v/>
      </c>
      <c r="E146" s="28" t="str">
        <f aca="false">IF($A146="","",$A146&amp;"-"&amp;$D146)</f>
        <v/>
      </c>
      <c r="F146" s="28" t="str">
        <f aca="false">IF($A146="","",IF('1-Turizm Rehberliği'!D143="","",'1-Turizm Rehberliği'!D143))</f>
        <v/>
      </c>
      <c r="G146" s="28" t="str">
        <f aca="false">IF($A146="","",IF('1-Turizm Rehberliği'!E143="","",'1-Turizm Rehberliği'!E143))</f>
        <v/>
      </c>
      <c r="H146" s="28" t="str">
        <f aca="false">IF($A146="","",IF('1-Turizm Rehberliği'!F143="","",'1-Turizm Rehberliği'!F143))</f>
        <v/>
      </c>
      <c r="I146" s="28" t="str">
        <f aca="false">IF($A146="","",IF('1-Turizm Rehberliği'!G143="","",'1-Turizm Rehberliği'!G143))</f>
        <v/>
      </c>
      <c r="J146" s="28" t="str">
        <f aca="false">IF($A146="","",IF('1-Turizm Rehberliği'!H143="","",'1-Turizm Rehberliği'!H143))</f>
        <v/>
      </c>
      <c r="K146" s="28" t="str">
        <f aca="false">IF($A146="","",IF('1-Turizm Rehberliği'!I143="","",'1-Turizm Rehberliği'!I143))</f>
        <v/>
      </c>
      <c r="L146" s="28" t="str">
        <f aca="false">IF($I146="","",MATCH($I146,{"08.00";"09.00";"10.00";"11.00";"12.00";"13.00";"14.00";"15.00";"16.00";"17.00"},0))</f>
        <v/>
      </c>
      <c r="M146" s="28" t="str">
        <f aca="false">IF(OR($L146="",$J146=""),"",$L146+$J146-1)</f>
        <v/>
      </c>
      <c r="N146" s="28" t="str">
        <f aca="false">IF($A146="","",IF(OR($L146="",$M146=""),"",IF($M146&gt;10,"⚠ Saat Taşıyor","")))</f>
        <v/>
      </c>
      <c r="O146" s="28" t="str">
        <f aca="false">IF($A146="","",IF(OR($G146="",$H146="",$L146=""),"",IF(SUMPRODUCT(($A$7:$A$606&lt;&gt;"")*($G$7:$G$606=$G146)*($H$7:$H$606=$H146)*(ROW($A$7:$A$606)&lt;&gt;146)*($L$7:$L$606&lt;=$M146)*($M$7:$M$606&gt;=$L146))&gt;0,"⚠ Çakışma","OK")))</f>
        <v/>
      </c>
      <c r="P146" s="28" t="str">
        <f aca="false">IF($A146="","",IF(OR($K146="",$H146="",$L146=""),"",IF(SUMPRODUCT(($A$7:$A$606&lt;&gt;"")*($K$7:$K$606=$K146)*($H$7:$H$606=$H146)*(ROW($A$7:$A$606)&lt;&gt;146)*($L$7:$L$606&lt;=$M146)*($M$7:$M$606&gt;=$L146))&gt;0,"⚠ Çakışma","OK")))</f>
        <v/>
      </c>
      <c r="Q146" s="28" t="str">
        <f aca="false">IF($A146="","",IF(OR($E146="",$H146="",$L146=""),"",IF(SUMPRODUCT(($A$7:$A$606&lt;&gt;"")*($E$7:$E$606=$E146)*($H$7:$H$606=$H146)*(ROW($A$7:$A$606)&lt;&gt;146)*($L$7:$L$606&lt;=$M146)*($M$7:$M$606&gt;=$L146))&gt;0,"⚠ Çakışma","OK")))</f>
        <v/>
      </c>
      <c r="R146" s="28" t="str">
        <f aca="false">IF($A146="","",IF(OR($N146&lt;&gt;"",$O146="⚠ Çakışma",$P146="⚠ Çakışma",$Q146="⚠ Çakışma"),"⚠ Kontrol Et","✓ Uygun"))</f>
        <v/>
      </c>
    </row>
    <row r="147" customFormat="false" ht="13.5" hidden="false" customHeight="true" outlineLevel="0" collapsed="false">
      <c r="A147" s="28" t="str">
        <f aca="false">IF('1-Turizm Rehberliği'!A144="","","Turizm Rehberliği")</f>
        <v/>
      </c>
      <c r="B147" s="28" t="str">
        <f aca="false">IF($A147="","",IF('1-Turizm Rehberliği'!A144="","",'1-Turizm Rehberliği'!A144))</f>
        <v/>
      </c>
      <c r="C147" s="29" t="str">
        <f aca="false">IF($A147="","",IF('1-Turizm Rehberliği'!B144="","",'1-Turizm Rehberliği'!B144))</f>
        <v/>
      </c>
      <c r="D147" s="28" t="str">
        <f aca="false">IF($A147="","",IF('1-Turizm Rehberliği'!C144="","",'1-Turizm Rehberliği'!C144))</f>
        <v/>
      </c>
      <c r="E147" s="28" t="str">
        <f aca="false">IF($A147="","",$A147&amp;"-"&amp;$D147)</f>
        <v/>
      </c>
      <c r="F147" s="28" t="str">
        <f aca="false">IF($A147="","",IF('1-Turizm Rehberliği'!D144="","",'1-Turizm Rehberliği'!D144))</f>
        <v/>
      </c>
      <c r="G147" s="28" t="str">
        <f aca="false">IF($A147="","",IF('1-Turizm Rehberliği'!E144="","",'1-Turizm Rehberliği'!E144))</f>
        <v/>
      </c>
      <c r="H147" s="28" t="str">
        <f aca="false">IF($A147="","",IF('1-Turizm Rehberliği'!F144="","",'1-Turizm Rehberliği'!F144))</f>
        <v/>
      </c>
      <c r="I147" s="28" t="str">
        <f aca="false">IF($A147="","",IF('1-Turizm Rehberliği'!G144="","",'1-Turizm Rehberliği'!G144))</f>
        <v/>
      </c>
      <c r="J147" s="28" t="str">
        <f aca="false">IF($A147="","",IF('1-Turizm Rehberliği'!H144="","",'1-Turizm Rehberliği'!H144))</f>
        <v/>
      </c>
      <c r="K147" s="28" t="str">
        <f aca="false">IF($A147="","",IF('1-Turizm Rehberliği'!I144="","",'1-Turizm Rehberliği'!I144))</f>
        <v/>
      </c>
      <c r="L147" s="28" t="str">
        <f aca="false">IF($I147="","",MATCH($I147,{"08.00";"09.00";"10.00";"11.00";"12.00";"13.00";"14.00";"15.00";"16.00";"17.00"},0))</f>
        <v/>
      </c>
      <c r="M147" s="28" t="str">
        <f aca="false">IF(OR($L147="",$J147=""),"",$L147+$J147-1)</f>
        <v/>
      </c>
      <c r="N147" s="28" t="str">
        <f aca="false">IF($A147="","",IF(OR($L147="",$M147=""),"",IF($M147&gt;10,"⚠ Saat Taşıyor","")))</f>
        <v/>
      </c>
      <c r="O147" s="28" t="str">
        <f aca="false">IF($A147="","",IF(OR($G147="",$H147="",$L147=""),"",IF(SUMPRODUCT(($A$7:$A$606&lt;&gt;"")*($G$7:$G$606=$G147)*($H$7:$H$606=$H147)*(ROW($A$7:$A$606)&lt;&gt;147)*($L$7:$L$606&lt;=$M147)*($M$7:$M$606&gt;=$L147))&gt;0,"⚠ Çakışma","OK")))</f>
        <v/>
      </c>
      <c r="P147" s="28" t="str">
        <f aca="false">IF($A147="","",IF(OR($K147="",$H147="",$L147=""),"",IF(SUMPRODUCT(($A$7:$A$606&lt;&gt;"")*($K$7:$K$606=$K147)*($H$7:$H$606=$H147)*(ROW($A$7:$A$606)&lt;&gt;147)*($L$7:$L$606&lt;=$M147)*($M$7:$M$606&gt;=$L147))&gt;0,"⚠ Çakışma","OK")))</f>
        <v/>
      </c>
      <c r="Q147" s="28" t="str">
        <f aca="false">IF($A147="","",IF(OR($E147="",$H147="",$L147=""),"",IF(SUMPRODUCT(($A$7:$A$606&lt;&gt;"")*($E$7:$E$606=$E147)*($H$7:$H$606=$H147)*(ROW($A$7:$A$606)&lt;&gt;147)*($L$7:$L$606&lt;=$M147)*($M$7:$M$606&gt;=$L147))&gt;0,"⚠ Çakışma","OK")))</f>
        <v/>
      </c>
      <c r="R147" s="28" t="str">
        <f aca="false">IF($A147="","",IF(OR($N147&lt;&gt;"",$O147="⚠ Çakışma",$P147="⚠ Çakışma",$Q147="⚠ Çakışma"),"⚠ Kontrol Et","✓ Uygun"))</f>
        <v/>
      </c>
    </row>
    <row r="148" customFormat="false" ht="13.5" hidden="false" customHeight="true" outlineLevel="0" collapsed="false">
      <c r="A148" s="28" t="str">
        <f aca="false">IF('1-Turizm Rehberliği'!A145="","","Turizm Rehberliği")</f>
        <v/>
      </c>
      <c r="B148" s="28" t="str">
        <f aca="false">IF($A148="","",IF('1-Turizm Rehberliği'!A145="","",'1-Turizm Rehberliği'!A145))</f>
        <v/>
      </c>
      <c r="C148" s="29" t="str">
        <f aca="false">IF($A148="","",IF('1-Turizm Rehberliği'!B145="","",'1-Turizm Rehberliği'!B145))</f>
        <v/>
      </c>
      <c r="D148" s="28" t="str">
        <f aca="false">IF($A148="","",IF('1-Turizm Rehberliği'!C145="","",'1-Turizm Rehberliği'!C145))</f>
        <v/>
      </c>
      <c r="E148" s="28" t="str">
        <f aca="false">IF($A148="","",$A148&amp;"-"&amp;$D148)</f>
        <v/>
      </c>
      <c r="F148" s="28" t="str">
        <f aca="false">IF($A148="","",IF('1-Turizm Rehberliği'!D145="","",'1-Turizm Rehberliği'!D145))</f>
        <v/>
      </c>
      <c r="G148" s="28" t="str">
        <f aca="false">IF($A148="","",IF('1-Turizm Rehberliği'!E145="","",'1-Turizm Rehberliği'!E145))</f>
        <v/>
      </c>
      <c r="H148" s="28" t="str">
        <f aca="false">IF($A148="","",IF('1-Turizm Rehberliği'!F145="","",'1-Turizm Rehberliği'!F145))</f>
        <v/>
      </c>
      <c r="I148" s="28" t="str">
        <f aca="false">IF($A148="","",IF('1-Turizm Rehberliği'!G145="","",'1-Turizm Rehberliği'!G145))</f>
        <v/>
      </c>
      <c r="J148" s="28" t="str">
        <f aca="false">IF($A148="","",IF('1-Turizm Rehberliği'!H145="","",'1-Turizm Rehberliği'!H145))</f>
        <v/>
      </c>
      <c r="K148" s="28" t="str">
        <f aca="false">IF($A148="","",IF('1-Turizm Rehberliği'!I145="","",'1-Turizm Rehberliği'!I145))</f>
        <v/>
      </c>
      <c r="L148" s="28" t="str">
        <f aca="false">IF($I148="","",MATCH($I148,{"08.00";"09.00";"10.00";"11.00";"12.00";"13.00";"14.00";"15.00";"16.00";"17.00"},0))</f>
        <v/>
      </c>
      <c r="M148" s="28" t="str">
        <f aca="false">IF(OR($L148="",$J148=""),"",$L148+$J148-1)</f>
        <v/>
      </c>
      <c r="N148" s="28" t="str">
        <f aca="false">IF($A148="","",IF(OR($L148="",$M148=""),"",IF($M148&gt;10,"⚠ Saat Taşıyor","")))</f>
        <v/>
      </c>
      <c r="O148" s="28" t="str">
        <f aca="false">IF($A148="","",IF(OR($G148="",$H148="",$L148=""),"",IF(SUMPRODUCT(($A$7:$A$606&lt;&gt;"")*($G$7:$G$606=$G148)*($H$7:$H$606=$H148)*(ROW($A$7:$A$606)&lt;&gt;148)*($L$7:$L$606&lt;=$M148)*($M$7:$M$606&gt;=$L148))&gt;0,"⚠ Çakışma","OK")))</f>
        <v/>
      </c>
      <c r="P148" s="28" t="str">
        <f aca="false">IF($A148="","",IF(OR($K148="",$H148="",$L148=""),"",IF(SUMPRODUCT(($A$7:$A$606&lt;&gt;"")*($K$7:$K$606=$K148)*($H$7:$H$606=$H148)*(ROW($A$7:$A$606)&lt;&gt;148)*($L$7:$L$606&lt;=$M148)*($M$7:$M$606&gt;=$L148))&gt;0,"⚠ Çakışma","OK")))</f>
        <v/>
      </c>
      <c r="Q148" s="28" t="str">
        <f aca="false">IF($A148="","",IF(OR($E148="",$H148="",$L148=""),"",IF(SUMPRODUCT(($A$7:$A$606&lt;&gt;"")*($E$7:$E$606=$E148)*($H$7:$H$606=$H148)*(ROW($A$7:$A$606)&lt;&gt;148)*($L$7:$L$606&lt;=$M148)*($M$7:$M$606&gt;=$L148))&gt;0,"⚠ Çakışma","OK")))</f>
        <v/>
      </c>
      <c r="R148" s="28" t="str">
        <f aca="false">IF($A148="","",IF(OR($N148&lt;&gt;"",$O148="⚠ Çakışma",$P148="⚠ Çakışma",$Q148="⚠ Çakışma"),"⚠ Kontrol Et","✓ Uygun"))</f>
        <v/>
      </c>
    </row>
    <row r="149" customFormat="false" ht="13.5" hidden="false" customHeight="true" outlineLevel="0" collapsed="false">
      <c r="A149" s="28" t="str">
        <f aca="false">IF('1-Turizm Rehberliği'!A146="","","Turizm Rehberliği")</f>
        <v/>
      </c>
      <c r="B149" s="28" t="str">
        <f aca="false">IF($A149="","",IF('1-Turizm Rehberliği'!A146="","",'1-Turizm Rehberliği'!A146))</f>
        <v/>
      </c>
      <c r="C149" s="29" t="str">
        <f aca="false">IF($A149="","",IF('1-Turizm Rehberliği'!B146="","",'1-Turizm Rehberliği'!B146))</f>
        <v/>
      </c>
      <c r="D149" s="28" t="str">
        <f aca="false">IF($A149="","",IF('1-Turizm Rehberliği'!C146="","",'1-Turizm Rehberliği'!C146))</f>
        <v/>
      </c>
      <c r="E149" s="28" t="str">
        <f aca="false">IF($A149="","",$A149&amp;"-"&amp;$D149)</f>
        <v/>
      </c>
      <c r="F149" s="28" t="str">
        <f aca="false">IF($A149="","",IF('1-Turizm Rehberliği'!D146="","",'1-Turizm Rehberliği'!D146))</f>
        <v/>
      </c>
      <c r="G149" s="28" t="str">
        <f aca="false">IF($A149="","",IF('1-Turizm Rehberliği'!E146="","",'1-Turizm Rehberliği'!E146))</f>
        <v/>
      </c>
      <c r="H149" s="28" t="str">
        <f aca="false">IF($A149="","",IF('1-Turizm Rehberliği'!F146="","",'1-Turizm Rehberliği'!F146))</f>
        <v/>
      </c>
      <c r="I149" s="28" t="str">
        <f aca="false">IF($A149="","",IF('1-Turizm Rehberliği'!G146="","",'1-Turizm Rehberliği'!G146))</f>
        <v/>
      </c>
      <c r="J149" s="28" t="str">
        <f aca="false">IF($A149="","",IF('1-Turizm Rehberliği'!H146="","",'1-Turizm Rehberliği'!H146))</f>
        <v/>
      </c>
      <c r="K149" s="28" t="str">
        <f aca="false">IF($A149="","",IF('1-Turizm Rehberliği'!I146="","",'1-Turizm Rehberliği'!I146))</f>
        <v/>
      </c>
      <c r="L149" s="28" t="str">
        <f aca="false">IF($I149="","",MATCH($I149,{"08.00";"09.00";"10.00";"11.00";"12.00";"13.00";"14.00";"15.00";"16.00";"17.00"},0))</f>
        <v/>
      </c>
      <c r="M149" s="28" t="str">
        <f aca="false">IF(OR($L149="",$J149=""),"",$L149+$J149-1)</f>
        <v/>
      </c>
      <c r="N149" s="28" t="str">
        <f aca="false">IF($A149="","",IF(OR($L149="",$M149=""),"",IF($M149&gt;10,"⚠ Saat Taşıyor","")))</f>
        <v/>
      </c>
      <c r="O149" s="28" t="str">
        <f aca="false">IF($A149="","",IF(OR($G149="",$H149="",$L149=""),"",IF(SUMPRODUCT(($A$7:$A$606&lt;&gt;"")*($G$7:$G$606=$G149)*($H$7:$H$606=$H149)*(ROW($A$7:$A$606)&lt;&gt;149)*($L$7:$L$606&lt;=$M149)*($M$7:$M$606&gt;=$L149))&gt;0,"⚠ Çakışma","OK")))</f>
        <v/>
      </c>
      <c r="P149" s="28" t="str">
        <f aca="false">IF($A149="","",IF(OR($K149="",$H149="",$L149=""),"",IF(SUMPRODUCT(($A$7:$A$606&lt;&gt;"")*($K$7:$K$606=$K149)*($H$7:$H$606=$H149)*(ROW($A$7:$A$606)&lt;&gt;149)*($L$7:$L$606&lt;=$M149)*($M$7:$M$606&gt;=$L149))&gt;0,"⚠ Çakışma","OK")))</f>
        <v/>
      </c>
      <c r="Q149" s="28" t="str">
        <f aca="false">IF($A149="","",IF(OR($E149="",$H149="",$L149=""),"",IF(SUMPRODUCT(($A$7:$A$606&lt;&gt;"")*($E$7:$E$606=$E149)*($H$7:$H$606=$H149)*(ROW($A$7:$A$606)&lt;&gt;149)*($L$7:$L$606&lt;=$M149)*($M$7:$M$606&gt;=$L149))&gt;0,"⚠ Çakışma","OK")))</f>
        <v/>
      </c>
      <c r="R149" s="28" t="str">
        <f aca="false">IF($A149="","",IF(OR($N149&lt;&gt;"",$O149="⚠ Çakışma",$P149="⚠ Çakışma",$Q149="⚠ Çakışma"),"⚠ Kontrol Et","✓ Uygun"))</f>
        <v/>
      </c>
    </row>
    <row r="150" customFormat="false" ht="13.5" hidden="false" customHeight="true" outlineLevel="0" collapsed="false">
      <c r="A150" s="28" t="str">
        <f aca="false">IF('1-Turizm Rehberliği'!A147="","","Turizm Rehberliği")</f>
        <v/>
      </c>
      <c r="B150" s="28" t="str">
        <f aca="false">IF($A150="","",IF('1-Turizm Rehberliği'!A147="","",'1-Turizm Rehberliği'!A147))</f>
        <v/>
      </c>
      <c r="C150" s="29" t="str">
        <f aca="false">IF($A150="","",IF('1-Turizm Rehberliği'!B147="","",'1-Turizm Rehberliği'!B147))</f>
        <v/>
      </c>
      <c r="D150" s="28" t="str">
        <f aca="false">IF($A150="","",IF('1-Turizm Rehberliği'!C147="","",'1-Turizm Rehberliği'!C147))</f>
        <v/>
      </c>
      <c r="E150" s="28" t="str">
        <f aca="false">IF($A150="","",$A150&amp;"-"&amp;$D150)</f>
        <v/>
      </c>
      <c r="F150" s="28" t="str">
        <f aca="false">IF($A150="","",IF('1-Turizm Rehberliği'!D147="","",'1-Turizm Rehberliği'!D147))</f>
        <v/>
      </c>
      <c r="G150" s="28" t="str">
        <f aca="false">IF($A150="","",IF('1-Turizm Rehberliği'!E147="","",'1-Turizm Rehberliği'!E147))</f>
        <v/>
      </c>
      <c r="H150" s="28" t="str">
        <f aca="false">IF($A150="","",IF('1-Turizm Rehberliği'!F147="","",'1-Turizm Rehberliği'!F147))</f>
        <v/>
      </c>
      <c r="I150" s="28" t="str">
        <f aca="false">IF($A150="","",IF('1-Turizm Rehberliği'!G147="","",'1-Turizm Rehberliği'!G147))</f>
        <v/>
      </c>
      <c r="J150" s="28" t="str">
        <f aca="false">IF($A150="","",IF('1-Turizm Rehberliği'!H147="","",'1-Turizm Rehberliği'!H147))</f>
        <v/>
      </c>
      <c r="K150" s="28" t="str">
        <f aca="false">IF($A150="","",IF('1-Turizm Rehberliği'!I147="","",'1-Turizm Rehberliği'!I147))</f>
        <v/>
      </c>
      <c r="L150" s="28" t="str">
        <f aca="false">IF($I150="","",MATCH($I150,{"08.00";"09.00";"10.00";"11.00";"12.00";"13.00";"14.00";"15.00";"16.00";"17.00"},0))</f>
        <v/>
      </c>
      <c r="M150" s="28" t="str">
        <f aca="false">IF(OR($L150="",$J150=""),"",$L150+$J150-1)</f>
        <v/>
      </c>
      <c r="N150" s="28" t="str">
        <f aca="false">IF($A150="","",IF(OR($L150="",$M150=""),"",IF($M150&gt;10,"⚠ Saat Taşıyor","")))</f>
        <v/>
      </c>
      <c r="O150" s="28" t="str">
        <f aca="false">IF($A150="","",IF(OR($G150="",$H150="",$L150=""),"",IF(SUMPRODUCT(($A$7:$A$606&lt;&gt;"")*($G$7:$G$606=$G150)*($H$7:$H$606=$H150)*(ROW($A$7:$A$606)&lt;&gt;150)*($L$7:$L$606&lt;=$M150)*($M$7:$M$606&gt;=$L150))&gt;0,"⚠ Çakışma","OK")))</f>
        <v/>
      </c>
      <c r="P150" s="28" t="str">
        <f aca="false">IF($A150="","",IF(OR($K150="",$H150="",$L150=""),"",IF(SUMPRODUCT(($A$7:$A$606&lt;&gt;"")*($K$7:$K$606=$K150)*($H$7:$H$606=$H150)*(ROW($A$7:$A$606)&lt;&gt;150)*($L$7:$L$606&lt;=$M150)*($M$7:$M$606&gt;=$L150))&gt;0,"⚠ Çakışma","OK")))</f>
        <v/>
      </c>
      <c r="Q150" s="28" t="str">
        <f aca="false">IF($A150="","",IF(OR($E150="",$H150="",$L150=""),"",IF(SUMPRODUCT(($A$7:$A$606&lt;&gt;"")*($E$7:$E$606=$E150)*($H$7:$H$606=$H150)*(ROW($A$7:$A$606)&lt;&gt;150)*($L$7:$L$606&lt;=$M150)*($M$7:$M$606&gt;=$L150))&gt;0,"⚠ Çakışma","OK")))</f>
        <v/>
      </c>
      <c r="R150" s="28" t="str">
        <f aca="false">IF($A150="","",IF(OR($N150&lt;&gt;"",$O150="⚠ Çakışma",$P150="⚠ Çakışma",$Q150="⚠ Çakışma"),"⚠ Kontrol Et","✓ Uygun"))</f>
        <v/>
      </c>
    </row>
    <row r="151" customFormat="false" ht="13.5" hidden="false" customHeight="true" outlineLevel="0" collapsed="false">
      <c r="A151" s="28" t="str">
        <f aca="false">IF('1-Turizm Rehberliği'!A148="","","Turizm Rehberliği")</f>
        <v/>
      </c>
      <c r="B151" s="28" t="str">
        <f aca="false">IF($A151="","",IF('1-Turizm Rehberliği'!A148="","",'1-Turizm Rehberliği'!A148))</f>
        <v/>
      </c>
      <c r="C151" s="29" t="str">
        <f aca="false">IF($A151="","",IF('1-Turizm Rehberliği'!B148="","",'1-Turizm Rehberliği'!B148))</f>
        <v/>
      </c>
      <c r="D151" s="28" t="str">
        <f aca="false">IF($A151="","",IF('1-Turizm Rehberliği'!C148="","",'1-Turizm Rehberliği'!C148))</f>
        <v/>
      </c>
      <c r="E151" s="28" t="str">
        <f aca="false">IF($A151="","",$A151&amp;"-"&amp;$D151)</f>
        <v/>
      </c>
      <c r="F151" s="28" t="str">
        <f aca="false">IF($A151="","",IF('1-Turizm Rehberliği'!D148="","",'1-Turizm Rehberliği'!D148))</f>
        <v/>
      </c>
      <c r="G151" s="28" t="str">
        <f aca="false">IF($A151="","",IF('1-Turizm Rehberliği'!E148="","",'1-Turizm Rehberliği'!E148))</f>
        <v/>
      </c>
      <c r="H151" s="28" t="str">
        <f aca="false">IF($A151="","",IF('1-Turizm Rehberliği'!F148="","",'1-Turizm Rehberliği'!F148))</f>
        <v/>
      </c>
      <c r="I151" s="28" t="str">
        <f aca="false">IF($A151="","",IF('1-Turizm Rehberliği'!G148="","",'1-Turizm Rehberliği'!G148))</f>
        <v/>
      </c>
      <c r="J151" s="28" t="str">
        <f aca="false">IF($A151="","",IF('1-Turizm Rehberliği'!H148="","",'1-Turizm Rehberliği'!H148))</f>
        <v/>
      </c>
      <c r="K151" s="28" t="str">
        <f aca="false">IF($A151="","",IF('1-Turizm Rehberliği'!I148="","",'1-Turizm Rehberliği'!I148))</f>
        <v/>
      </c>
      <c r="L151" s="28" t="str">
        <f aca="false">IF($I151="","",MATCH($I151,{"08.00";"09.00";"10.00";"11.00";"12.00";"13.00";"14.00";"15.00";"16.00";"17.00"},0))</f>
        <v/>
      </c>
      <c r="M151" s="28" t="str">
        <f aca="false">IF(OR($L151="",$J151=""),"",$L151+$J151-1)</f>
        <v/>
      </c>
      <c r="N151" s="28" t="str">
        <f aca="false">IF($A151="","",IF(OR($L151="",$M151=""),"",IF($M151&gt;10,"⚠ Saat Taşıyor","")))</f>
        <v/>
      </c>
      <c r="O151" s="28" t="str">
        <f aca="false">IF($A151="","",IF(OR($G151="",$H151="",$L151=""),"",IF(SUMPRODUCT(($A$7:$A$606&lt;&gt;"")*($G$7:$G$606=$G151)*($H$7:$H$606=$H151)*(ROW($A$7:$A$606)&lt;&gt;151)*($L$7:$L$606&lt;=$M151)*($M$7:$M$606&gt;=$L151))&gt;0,"⚠ Çakışma","OK")))</f>
        <v/>
      </c>
      <c r="P151" s="28" t="str">
        <f aca="false">IF($A151="","",IF(OR($K151="",$H151="",$L151=""),"",IF(SUMPRODUCT(($A$7:$A$606&lt;&gt;"")*($K$7:$K$606=$K151)*($H$7:$H$606=$H151)*(ROW($A$7:$A$606)&lt;&gt;151)*($L$7:$L$606&lt;=$M151)*($M$7:$M$606&gt;=$L151))&gt;0,"⚠ Çakışma","OK")))</f>
        <v/>
      </c>
      <c r="Q151" s="28" t="str">
        <f aca="false">IF($A151="","",IF(OR($E151="",$H151="",$L151=""),"",IF(SUMPRODUCT(($A$7:$A$606&lt;&gt;"")*($E$7:$E$606=$E151)*($H$7:$H$606=$H151)*(ROW($A$7:$A$606)&lt;&gt;151)*($L$7:$L$606&lt;=$M151)*($M$7:$M$606&gt;=$L151))&gt;0,"⚠ Çakışma","OK")))</f>
        <v/>
      </c>
      <c r="R151" s="28" t="str">
        <f aca="false">IF($A151="","",IF(OR($N151&lt;&gt;"",$O151="⚠ Çakışma",$P151="⚠ Çakışma",$Q151="⚠ Çakışma"),"⚠ Kontrol Et","✓ Uygun"))</f>
        <v/>
      </c>
    </row>
    <row r="152" customFormat="false" ht="13.5" hidden="false" customHeight="true" outlineLevel="0" collapsed="false">
      <c r="A152" s="28" t="str">
        <f aca="false">IF('1-Turizm Rehberliği'!A149="","","Turizm Rehberliği")</f>
        <v/>
      </c>
      <c r="B152" s="28" t="str">
        <f aca="false">IF($A152="","",IF('1-Turizm Rehberliği'!A149="","",'1-Turizm Rehberliği'!A149))</f>
        <v/>
      </c>
      <c r="C152" s="29" t="str">
        <f aca="false">IF($A152="","",IF('1-Turizm Rehberliği'!B149="","",'1-Turizm Rehberliği'!B149))</f>
        <v/>
      </c>
      <c r="D152" s="28" t="str">
        <f aca="false">IF($A152="","",IF('1-Turizm Rehberliği'!C149="","",'1-Turizm Rehberliği'!C149))</f>
        <v/>
      </c>
      <c r="E152" s="28" t="str">
        <f aca="false">IF($A152="","",$A152&amp;"-"&amp;$D152)</f>
        <v/>
      </c>
      <c r="F152" s="28" t="str">
        <f aca="false">IF($A152="","",IF('1-Turizm Rehberliği'!D149="","",'1-Turizm Rehberliği'!D149))</f>
        <v/>
      </c>
      <c r="G152" s="28" t="str">
        <f aca="false">IF($A152="","",IF('1-Turizm Rehberliği'!E149="","",'1-Turizm Rehberliği'!E149))</f>
        <v/>
      </c>
      <c r="H152" s="28" t="str">
        <f aca="false">IF($A152="","",IF('1-Turizm Rehberliği'!F149="","",'1-Turizm Rehberliği'!F149))</f>
        <v/>
      </c>
      <c r="I152" s="28" t="str">
        <f aca="false">IF($A152="","",IF('1-Turizm Rehberliği'!G149="","",'1-Turizm Rehberliği'!G149))</f>
        <v/>
      </c>
      <c r="J152" s="28" t="str">
        <f aca="false">IF($A152="","",IF('1-Turizm Rehberliği'!H149="","",'1-Turizm Rehberliği'!H149))</f>
        <v/>
      </c>
      <c r="K152" s="28" t="str">
        <f aca="false">IF($A152="","",IF('1-Turizm Rehberliği'!I149="","",'1-Turizm Rehberliği'!I149))</f>
        <v/>
      </c>
      <c r="L152" s="28" t="str">
        <f aca="false">IF($I152="","",MATCH($I152,{"08.00";"09.00";"10.00";"11.00";"12.00";"13.00";"14.00";"15.00";"16.00";"17.00"},0))</f>
        <v/>
      </c>
      <c r="M152" s="28" t="str">
        <f aca="false">IF(OR($L152="",$J152=""),"",$L152+$J152-1)</f>
        <v/>
      </c>
      <c r="N152" s="28" t="str">
        <f aca="false">IF($A152="","",IF(OR($L152="",$M152=""),"",IF($M152&gt;10,"⚠ Saat Taşıyor","")))</f>
        <v/>
      </c>
      <c r="O152" s="28" t="str">
        <f aca="false">IF($A152="","",IF(OR($G152="",$H152="",$L152=""),"",IF(SUMPRODUCT(($A$7:$A$606&lt;&gt;"")*($G$7:$G$606=$G152)*($H$7:$H$606=$H152)*(ROW($A$7:$A$606)&lt;&gt;152)*($L$7:$L$606&lt;=$M152)*($M$7:$M$606&gt;=$L152))&gt;0,"⚠ Çakışma","OK")))</f>
        <v/>
      </c>
      <c r="P152" s="28" t="str">
        <f aca="false">IF($A152="","",IF(OR($K152="",$H152="",$L152=""),"",IF(SUMPRODUCT(($A$7:$A$606&lt;&gt;"")*($K$7:$K$606=$K152)*($H$7:$H$606=$H152)*(ROW($A$7:$A$606)&lt;&gt;152)*($L$7:$L$606&lt;=$M152)*($M$7:$M$606&gt;=$L152))&gt;0,"⚠ Çakışma","OK")))</f>
        <v/>
      </c>
      <c r="Q152" s="28" t="str">
        <f aca="false">IF($A152="","",IF(OR($E152="",$H152="",$L152=""),"",IF(SUMPRODUCT(($A$7:$A$606&lt;&gt;"")*($E$7:$E$606=$E152)*($H$7:$H$606=$H152)*(ROW($A$7:$A$606)&lt;&gt;152)*($L$7:$L$606&lt;=$M152)*($M$7:$M$606&gt;=$L152))&gt;0,"⚠ Çakışma","OK")))</f>
        <v/>
      </c>
      <c r="R152" s="28" t="str">
        <f aca="false">IF($A152="","",IF(OR($N152&lt;&gt;"",$O152="⚠ Çakışma",$P152="⚠ Çakışma",$Q152="⚠ Çakışma"),"⚠ Kontrol Et","✓ Uygun"))</f>
        <v/>
      </c>
    </row>
    <row r="153" customFormat="false" ht="13.5" hidden="false" customHeight="true" outlineLevel="0" collapsed="false">
      <c r="A153" s="28" t="str">
        <f aca="false">IF('1-Turizm Rehberliği'!A150="","","Turizm Rehberliği")</f>
        <v/>
      </c>
      <c r="B153" s="28" t="str">
        <f aca="false">IF($A153="","",IF('1-Turizm Rehberliği'!A150="","",'1-Turizm Rehberliği'!A150))</f>
        <v/>
      </c>
      <c r="C153" s="29" t="str">
        <f aca="false">IF($A153="","",IF('1-Turizm Rehberliği'!B150="","",'1-Turizm Rehberliği'!B150))</f>
        <v/>
      </c>
      <c r="D153" s="28" t="str">
        <f aca="false">IF($A153="","",IF('1-Turizm Rehberliği'!C150="","",'1-Turizm Rehberliği'!C150))</f>
        <v/>
      </c>
      <c r="E153" s="28" t="str">
        <f aca="false">IF($A153="","",$A153&amp;"-"&amp;$D153)</f>
        <v/>
      </c>
      <c r="F153" s="28" t="str">
        <f aca="false">IF($A153="","",IF('1-Turizm Rehberliği'!D150="","",'1-Turizm Rehberliği'!D150))</f>
        <v/>
      </c>
      <c r="G153" s="28" t="str">
        <f aca="false">IF($A153="","",IF('1-Turizm Rehberliği'!E150="","",'1-Turizm Rehberliği'!E150))</f>
        <v/>
      </c>
      <c r="H153" s="28" t="str">
        <f aca="false">IF($A153="","",IF('1-Turizm Rehberliği'!F150="","",'1-Turizm Rehberliği'!F150))</f>
        <v/>
      </c>
      <c r="I153" s="28" t="str">
        <f aca="false">IF($A153="","",IF('1-Turizm Rehberliği'!G150="","",'1-Turizm Rehberliği'!G150))</f>
        <v/>
      </c>
      <c r="J153" s="28" t="str">
        <f aca="false">IF($A153="","",IF('1-Turizm Rehberliği'!H150="","",'1-Turizm Rehberliği'!H150))</f>
        <v/>
      </c>
      <c r="K153" s="28" t="str">
        <f aca="false">IF($A153="","",IF('1-Turizm Rehberliği'!I150="","",'1-Turizm Rehberliği'!I150))</f>
        <v/>
      </c>
      <c r="L153" s="28" t="str">
        <f aca="false">IF($I153="","",MATCH($I153,{"08.00";"09.00";"10.00";"11.00";"12.00";"13.00";"14.00";"15.00";"16.00";"17.00"},0))</f>
        <v/>
      </c>
      <c r="M153" s="28" t="str">
        <f aca="false">IF(OR($L153="",$J153=""),"",$L153+$J153-1)</f>
        <v/>
      </c>
      <c r="N153" s="28" t="str">
        <f aca="false">IF($A153="","",IF(OR($L153="",$M153=""),"",IF($M153&gt;10,"⚠ Saat Taşıyor","")))</f>
        <v/>
      </c>
      <c r="O153" s="28" t="str">
        <f aca="false">IF($A153="","",IF(OR($G153="",$H153="",$L153=""),"",IF(SUMPRODUCT(($A$7:$A$606&lt;&gt;"")*($G$7:$G$606=$G153)*($H$7:$H$606=$H153)*(ROW($A$7:$A$606)&lt;&gt;153)*($L$7:$L$606&lt;=$M153)*($M$7:$M$606&gt;=$L153))&gt;0,"⚠ Çakışma","OK")))</f>
        <v/>
      </c>
      <c r="P153" s="28" t="str">
        <f aca="false">IF($A153="","",IF(OR($K153="",$H153="",$L153=""),"",IF(SUMPRODUCT(($A$7:$A$606&lt;&gt;"")*($K$7:$K$606=$K153)*($H$7:$H$606=$H153)*(ROW($A$7:$A$606)&lt;&gt;153)*($L$7:$L$606&lt;=$M153)*($M$7:$M$606&gt;=$L153))&gt;0,"⚠ Çakışma","OK")))</f>
        <v/>
      </c>
      <c r="Q153" s="28" t="str">
        <f aca="false">IF($A153="","",IF(OR($E153="",$H153="",$L153=""),"",IF(SUMPRODUCT(($A$7:$A$606&lt;&gt;"")*($E$7:$E$606=$E153)*($H$7:$H$606=$H153)*(ROW($A$7:$A$606)&lt;&gt;153)*($L$7:$L$606&lt;=$M153)*($M$7:$M$606&gt;=$L153))&gt;0,"⚠ Çakışma","OK")))</f>
        <v/>
      </c>
      <c r="R153" s="28" t="str">
        <f aca="false">IF($A153="","",IF(OR($N153&lt;&gt;"",$O153="⚠ Çakışma",$P153="⚠ Çakışma",$Q153="⚠ Çakışma"),"⚠ Kontrol Et","✓ Uygun"))</f>
        <v/>
      </c>
    </row>
    <row r="154" customFormat="false" ht="13.5" hidden="false" customHeight="true" outlineLevel="0" collapsed="false">
      <c r="A154" s="28" t="str">
        <f aca="false">IF('1-Turizm Rehberliği'!A151="","","Turizm Rehberliği")</f>
        <v/>
      </c>
      <c r="B154" s="28" t="str">
        <f aca="false">IF($A154="","",IF('1-Turizm Rehberliği'!A151="","",'1-Turizm Rehberliği'!A151))</f>
        <v/>
      </c>
      <c r="C154" s="29" t="str">
        <f aca="false">IF($A154="","",IF('1-Turizm Rehberliği'!B151="","",'1-Turizm Rehberliği'!B151))</f>
        <v/>
      </c>
      <c r="D154" s="28" t="str">
        <f aca="false">IF($A154="","",IF('1-Turizm Rehberliği'!C151="","",'1-Turizm Rehberliği'!C151))</f>
        <v/>
      </c>
      <c r="E154" s="28" t="str">
        <f aca="false">IF($A154="","",$A154&amp;"-"&amp;$D154)</f>
        <v/>
      </c>
      <c r="F154" s="28" t="str">
        <f aca="false">IF($A154="","",IF('1-Turizm Rehberliği'!D151="","",'1-Turizm Rehberliği'!D151))</f>
        <v/>
      </c>
      <c r="G154" s="28" t="str">
        <f aca="false">IF($A154="","",IF('1-Turizm Rehberliği'!E151="","",'1-Turizm Rehberliği'!E151))</f>
        <v/>
      </c>
      <c r="H154" s="28" t="str">
        <f aca="false">IF($A154="","",IF('1-Turizm Rehberliği'!F151="","",'1-Turizm Rehberliği'!F151))</f>
        <v/>
      </c>
      <c r="I154" s="28" t="str">
        <f aca="false">IF($A154="","",IF('1-Turizm Rehberliği'!G151="","",'1-Turizm Rehberliği'!G151))</f>
        <v/>
      </c>
      <c r="J154" s="28" t="str">
        <f aca="false">IF($A154="","",IF('1-Turizm Rehberliği'!H151="","",'1-Turizm Rehberliği'!H151))</f>
        <v/>
      </c>
      <c r="K154" s="28" t="str">
        <f aca="false">IF($A154="","",IF('1-Turizm Rehberliği'!I151="","",'1-Turizm Rehberliği'!I151))</f>
        <v/>
      </c>
      <c r="L154" s="28" t="str">
        <f aca="false">IF($I154="","",MATCH($I154,{"08.00";"09.00";"10.00";"11.00";"12.00";"13.00";"14.00";"15.00";"16.00";"17.00"},0))</f>
        <v/>
      </c>
      <c r="M154" s="28" t="str">
        <f aca="false">IF(OR($L154="",$J154=""),"",$L154+$J154-1)</f>
        <v/>
      </c>
      <c r="N154" s="28" t="str">
        <f aca="false">IF($A154="","",IF(OR($L154="",$M154=""),"",IF($M154&gt;10,"⚠ Saat Taşıyor","")))</f>
        <v/>
      </c>
      <c r="O154" s="28" t="str">
        <f aca="false">IF($A154="","",IF(OR($G154="",$H154="",$L154=""),"",IF(SUMPRODUCT(($A$7:$A$606&lt;&gt;"")*($G$7:$G$606=$G154)*($H$7:$H$606=$H154)*(ROW($A$7:$A$606)&lt;&gt;154)*($L$7:$L$606&lt;=$M154)*($M$7:$M$606&gt;=$L154))&gt;0,"⚠ Çakışma","OK")))</f>
        <v/>
      </c>
      <c r="P154" s="28" t="str">
        <f aca="false">IF($A154="","",IF(OR($K154="",$H154="",$L154=""),"",IF(SUMPRODUCT(($A$7:$A$606&lt;&gt;"")*($K$7:$K$606=$K154)*($H$7:$H$606=$H154)*(ROW($A$7:$A$606)&lt;&gt;154)*($L$7:$L$606&lt;=$M154)*($M$7:$M$606&gt;=$L154))&gt;0,"⚠ Çakışma","OK")))</f>
        <v/>
      </c>
      <c r="Q154" s="28" t="str">
        <f aca="false">IF($A154="","",IF(OR($E154="",$H154="",$L154=""),"",IF(SUMPRODUCT(($A$7:$A$606&lt;&gt;"")*($E$7:$E$606=$E154)*($H$7:$H$606=$H154)*(ROW($A$7:$A$606)&lt;&gt;154)*($L$7:$L$606&lt;=$M154)*($M$7:$M$606&gt;=$L154))&gt;0,"⚠ Çakışma","OK")))</f>
        <v/>
      </c>
      <c r="R154" s="28" t="str">
        <f aca="false">IF($A154="","",IF(OR($N154&lt;&gt;"",$O154="⚠ Çakışma",$P154="⚠ Çakışma",$Q154="⚠ Çakışma"),"⚠ Kontrol Et","✓ Uygun"))</f>
        <v/>
      </c>
    </row>
    <row r="155" customFormat="false" ht="13.5" hidden="false" customHeight="true" outlineLevel="0" collapsed="false">
      <c r="A155" s="28" t="str">
        <f aca="false">IF('1-Turizm Rehberliği'!A152="","","Turizm Rehberliği")</f>
        <v/>
      </c>
      <c r="B155" s="28" t="str">
        <f aca="false">IF($A155="","",IF('1-Turizm Rehberliği'!A152="","",'1-Turizm Rehberliği'!A152))</f>
        <v/>
      </c>
      <c r="C155" s="29" t="str">
        <f aca="false">IF($A155="","",IF('1-Turizm Rehberliği'!B152="","",'1-Turizm Rehberliği'!B152))</f>
        <v/>
      </c>
      <c r="D155" s="28" t="str">
        <f aca="false">IF($A155="","",IF('1-Turizm Rehberliği'!C152="","",'1-Turizm Rehberliği'!C152))</f>
        <v/>
      </c>
      <c r="E155" s="28" t="str">
        <f aca="false">IF($A155="","",$A155&amp;"-"&amp;$D155)</f>
        <v/>
      </c>
      <c r="F155" s="28" t="str">
        <f aca="false">IF($A155="","",IF('1-Turizm Rehberliği'!D152="","",'1-Turizm Rehberliği'!D152))</f>
        <v/>
      </c>
      <c r="G155" s="28" t="str">
        <f aca="false">IF($A155="","",IF('1-Turizm Rehberliği'!E152="","",'1-Turizm Rehberliği'!E152))</f>
        <v/>
      </c>
      <c r="H155" s="28" t="str">
        <f aca="false">IF($A155="","",IF('1-Turizm Rehberliği'!F152="","",'1-Turizm Rehberliği'!F152))</f>
        <v/>
      </c>
      <c r="I155" s="28" t="str">
        <f aca="false">IF($A155="","",IF('1-Turizm Rehberliği'!G152="","",'1-Turizm Rehberliği'!G152))</f>
        <v/>
      </c>
      <c r="J155" s="28" t="str">
        <f aca="false">IF($A155="","",IF('1-Turizm Rehberliği'!H152="","",'1-Turizm Rehberliği'!H152))</f>
        <v/>
      </c>
      <c r="K155" s="28" t="str">
        <f aca="false">IF($A155="","",IF('1-Turizm Rehberliği'!I152="","",'1-Turizm Rehberliği'!I152))</f>
        <v/>
      </c>
      <c r="L155" s="28" t="str">
        <f aca="false">IF($I155="","",MATCH($I155,{"08.00";"09.00";"10.00";"11.00";"12.00";"13.00";"14.00";"15.00";"16.00";"17.00"},0))</f>
        <v/>
      </c>
      <c r="M155" s="28" t="str">
        <f aca="false">IF(OR($L155="",$J155=""),"",$L155+$J155-1)</f>
        <v/>
      </c>
      <c r="N155" s="28" t="str">
        <f aca="false">IF($A155="","",IF(OR($L155="",$M155=""),"",IF($M155&gt;10,"⚠ Saat Taşıyor","")))</f>
        <v/>
      </c>
      <c r="O155" s="28" t="str">
        <f aca="false">IF($A155="","",IF(OR($G155="",$H155="",$L155=""),"",IF(SUMPRODUCT(($A$7:$A$606&lt;&gt;"")*($G$7:$G$606=$G155)*($H$7:$H$606=$H155)*(ROW($A$7:$A$606)&lt;&gt;155)*($L$7:$L$606&lt;=$M155)*($M$7:$M$606&gt;=$L155))&gt;0,"⚠ Çakışma","OK")))</f>
        <v/>
      </c>
      <c r="P155" s="28" t="str">
        <f aca="false">IF($A155="","",IF(OR($K155="",$H155="",$L155=""),"",IF(SUMPRODUCT(($A$7:$A$606&lt;&gt;"")*($K$7:$K$606=$K155)*($H$7:$H$606=$H155)*(ROW($A$7:$A$606)&lt;&gt;155)*($L$7:$L$606&lt;=$M155)*($M$7:$M$606&gt;=$L155))&gt;0,"⚠ Çakışma","OK")))</f>
        <v/>
      </c>
      <c r="Q155" s="28" t="str">
        <f aca="false">IF($A155="","",IF(OR($E155="",$H155="",$L155=""),"",IF(SUMPRODUCT(($A$7:$A$606&lt;&gt;"")*($E$7:$E$606=$E155)*($H$7:$H$606=$H155)*(ROW($A$7:$A$606)&lt;&gt;155)*($L$7:$L$606&lt;=$M155)*($M$7:$M$606&gt;=$L155))&gt;0,"⚠ Çakışma","OK")))</f>
        <v/>
      </c>
      <c r="R155" s="28" t="str">
        <f aca="false">IF($A155="","",IF(OR($N155&lt;&gt;"",$O155="⚠ Çakışma",$P155="⚠ Çakışma",$Q155="⚠ Çakışma"),"⚠ Kontrol Et","✓ Uygun"))</f>
        <v/>
      </c>
    </row>
    <row r="156" customFormat="false" ht="13.5" hidden="false" customHeight="true" outlineLevel="0" collapsed="false">
      <c r="A156" s="28" t="str">
        <f aca="false">IF('1-Turizm Rehberliği'!A153="","","Turizm Rehberliği")</f>
        <v/>
      </c>
      <c r="B156" s="28" t="str">
        <f aca="false">IF($A156="","",IF('1-Turizm Rehberliği'!A153="","",'1-Turizm Rehberliği'!A153))</f>
        <v/>
      </c>
      <c r="C156" s="29" t="str">
        <f aca="false">IF($A156="","",IF('1-Turizm Rehberliği'!B153="","",'1-Turizm Rehberliği'!B153))</f>
        <v/>
      </c>
      <c r="D156" s="28" t="str">
        <f aca="false">IF($A156="","",IF('1-Turizm Rehberliği'!C153="","",'1-Turizm Rehberliği'!C153))</f>
        <v/>
      </c>
      <c r="E156" s="28" t="str">
        <f aca="false">IF($A156="","",$A156&amp;"-"&amp;$D156)</f>
        <v/>
      </c>
      <c r="F156" s="28" t="str">
        <f aca="false">IF($A156="","",IF('1-Turizm Rehberliği'!D153="","",'1-Turizm Rehberliği'!D153))</f>
        <v/>
      </c>
      <c r="G156" s="28" t="str">
        <f aca="false">IF($A156="","",IF('1-Turizm Rehberliği'!E153="","",'1-Turizm Rehberliği'!E153))</f>
        <v/>
      </c>
      <c r="H156" s="28" t="str">
        <f aca="false">IF($A156="","",IF('1-Turizm Rehberliği'!F153="","",'1-Turizm Rehberliği'!F153))</f>
        <v/>
      </c>
      <c r="I156" s="28" t="str">
        <f aca="false">IF($A156="","",IF('1-Turizm Rehberliği'!G153="","",'1-Turizm Rehberliği'!G153))</f>
        <v/>
      </c>
      <c r="J156" s="28" t="str">
        <f aca="false">IF($A156="","",IF('1-Turizm Rehberliği'!H153="","",'1-Turizm Rehberliği'!H153))</f>
        <v/>
      </c>
      <c r="K156" s="28" t="str">
        <f aca="false">IF($A156="","",IF('1-Turizm Rehberliği'!I153="","",'1-Turizm Rehberliği'!I153))</f>
        <v/>
      </c>
      <c r="L156" s="28" t="str">
        <f aca="false">IF($I156="","",MATCH($I156,{"08.00";"09.00";"10.00";"11.00";"12.00";"13.00";"14.00";"15.00";"16.00";"17.00"},0))</f>
        <v/>
      </c>
      <c r="M156" s="28" t="str">
        <f aca="false">IF(OR($L156="",$J156=""),"",$L156+$J156-1)</f>
        <v/>
      </c>
      <c r="N156" s="28" t="str">
        <f aca="false">IF($A156="","",IF(OR($L156="",$M156=""),"",IF($M156&gt;10,"⚠ Saat Taşıyor","")))</f>
        <v/>
      </c>
      <c r="O156" s="28" t="str">
        <f aca="false">IF($A156="","",IF(OR($G156="",$H156="",$L156=""),"",IF(SUMPRODUCT(($A$7:$A$606&lt;&gt;"")*($G$7:$G$606=$G156)*($H$7:$H$606=$H156)*(ROW($A$7:$A$606)&lt;&gt;156)*($L$7:$L$606&lt;=$M156)*($M$7:$M$606&gt;=$L156))&gt;0,"⚠ Çakışma","OK")))</f>
        <v/>
      </c>
      <c r="P156" s="28" t="str">
        <f aca="false">IF($A156="","",IF(OR($K156="",$H156="",$L156=""),"",IF(SUMPRODUCT(($A$7:$A$606&lt;&gt;"")*($K$7:$K$606=$K156)*($H$7:$H$606=$H156)*(ROW($A$7:$A$606)&lt;&gt;156)*($L$7:$L$606&lt;=$M156)*($M$7:$M$606&gt;=$L156))&gt;0,"⚠ Çakışma","OK")))</f>
        <v/>
      </c>
      <c r="Q156" s="28" t="str">
        <f aca="false">IF($A156="","",IF(OR($E156="",$H156="",$L156=""),"",IF(SUMPRODUCT(($A$7:$A$606&lt;&gt;"")*($E$7:$E$606=$E156)*($H$7:$H$606=$H156)*(ROW($A$7:$A$606)&lt;&gt;156)*($L$7:$L$606&lt;=$M156)*($M$7:$M$606&gt;=$L156))&gt;0,"⚠ Çakışma","OK")))</f>
        <v/>
      </c>
      <c r="R156" s="28" t="str">
        <f aca="false">IF($A156="","",IF(OR($N156&lt;&gt;"",$O156="⚠ Çakışma",$P156="⚠ Çakışma",$Q156="⚠ Çakışma"),"⚠ Kontrol Et","✓ Uygun"))</f>
        <v/>
      </c>
    </row>
    <row r="157" customFormat="false" ht="13.5" hidden="false" customHeight="true" outlineLevel="0" collapsed="false">
      <c r="A157" s="28" t="str">
        <f aca="false">IF('1-Turizm Rehberliği'!A154="","","Turizm Rehberliği")</f>
        <v/>
      </c>
      <c r="B157" s="28" t="str">
        <f aca="false">IF($A157="","",IF('1-Turizm Rehberliği'!A154="","",'1-Turizm Rehberliği'!A154))</f>
        <v/>
      </c>
      <c r="C157" s="29" t="str">
        <f aca="false">IF($A157="","",IF('1-Turizm Rehberliği'!B154="","",'1-Turizm Rehberliği'!B154))</f>
        <v/>
      </c>
      <c r="D157" s="28" t="str">
        <f aca="false">IF($A157="","",IF('1-Turizm Rehberliği'!C154="","",'1-Turizm Rehberliği'!C154))</f>
        <v/>
      </c>
      <c r="E157" s="28" t="str">
        <f aca="false">IF($A157="","",$A157&amp;"-"&amp;$D157)</f>
        <v/>
      </c>
      <c r="F157" s="28" t="str">
        <f aca="false">IF($A157="","",IF('1-Turizm Rehberliği'!D154="","",'1-Turizm Rehberliği'!D154))</f>
        <v/>
      </c>
      <c r="G157" s="28" t="str">
        <f aca="false">IF($A157="","",IF('1-Turizm Rehberliği'!E154="","",'1-Turizm Rehberliği'!E154))</f>
        <v/>
      </c>
      <c r="H157" s="28" t="str">
        <f aca="false">IF($A157="","",IF('1-Turizm Rehberliği'!F154="","",'1-Turizm Rehberliği'!F154))</f>
        <v/>
      </c>
      <c r="I157" s="28" t="str">
        <f aca="false">IF($A157="","",IF('1-Turizm Rehberliği'!G154="","",'1-Turizm Rehberliği'!G154))</f>
        <v/>
      </c>
      <c r="J157" s="28" t="str">
        <f aca="false">IF($A157="","",IF('1-Turizm Rehberliği'!H154="","",'1-Turizm Rehberliği'!H154))</f>
        <v/>
      </c>
      <c r="K157" s="28" t="str">
        <f aca="false">IF($A157="","",IF('1-Turizm Rehberliği'!I154="","",'1-Turizm Rehberliği'!I154))</f>
        <v/>
      </c>
      <c r="L157" s="28" t="str">
        <f aca="false">IF($I157="","",MATCH($I157,{"08.00";"09.00";"10.00";"11.00";"12.00";"13.00";"14.00";"15.00";"16.00";"17.00"},0))</f>
        <v/>
      </c>
      <c r="M157" s="28" t="str">
        <f aca="false">IF(OR($L157="",$J157=""),"",$L157+$J157-1)</f>
        <v/>
      </c>
      <c r="N157" s="28" t="str">
        <f aca="false">IF($A157="","",IF(OR($L157="",$M157=""),"",IF($M157&gt;10,"⚠ Saat Taşıyor","")))</f>
        <v/>
      </c>
      <c r="O157" s="28" t="str">
        <f aca="false">IF($A157="","",IF(OR($G157="",$H157="",$L157=""),"",IF(SUMPRODUCT(($A$7:$A$606&lt;&gt;"")*($G$7:$G$606=$G157)*($H$7:$H$606=$H157)*(ROW($A$7:$A$606)&lt;&gt;157)*($L$7:$L$606&lt;=$M157)*($M$7:$M$606&gt;=$L157))&gt;0,"⚠ Çakışma","OK")))</f>
        <v/>
      </c>
      <c r="P157" s="28" t="str">
        <f aca="false">IF($A157="","",IF(OR($K157="",$H157="",$L157=""),"",IF(SUMPRODUCT(($A$7:$A$606&lt;&gt;"")*($K$7:$K$606=$K157)*($H$7:$H$606=$H157)*(ROW($A$7:$A$606)&lt;&gt;157)*($L$7:$L$606&lt;=$M157)*($M$7:$M$606&gt;=$L157))&gt;0,"⚠ Çakışma","OK")))</f>
        <v/>
      </c>
      <c r="Q157" s="28" t="str">
        <f aca="false">IF($A157="","",IF(OR($E157="",$H157="",$L157=""),"",IF(SUMPRODUCT(($A$7:$A$606&lt;&gt;"")*($E$7:$E$606=$E157)*($H$7:$H$606=$H157)*(ROW($A$7:$A$606)&lt;&gt;157)*($L$7:$L$606&lt;=$M157)*($M$7:$M$606&gt;=$L157))&gt;0,"⚠ Çakışma","OK")))</f>
        <v/>
      </c>
      <c r="R157" s="28" t="str">
        <f aca="false">IF($A157="","",IF(OR($N157&lt;&gt;"",$O157="⚠ Çakışma",$P157="⚠ Çakışma",$Q157="⚠ Çakışma"),"⚠ Kontrol Et","✓ Uygun"))</f>
        <v/>
      </c>
    </row>
    <row r="158" customFormat="false" ht="13.5" hidden="false" customHeight="true" outlineLevel="0" collapsed="false">
      <c r="A158" s="28" t="str">
        <f aca="false">IF('1-Turizm Rehberliği'!A155="","","Turizm Rehberliği")</f>
        <v/>
      </c>
      <c r="B158" s="28" t="str">
        <f aca="false">IF($A158="","",IF('1-Turizm Rehberliği'!A155="","",'1-Turizm Rehberliği'!A155))</f>
        <v/>
      </c>
      <c r="C158" s="29" t="str">
        <f aca="false">IF($A158="","",IF('1-Turizm Rehberliği'!B155="","",'1-Turizm Rehberliği'!B155))</f>
        <v/>
      </c>
      <c r="D158" s="28" t="str">
        <f aca="false">IF($A158="","",IF('1-Turizm Rehberliği'!C155="","",'1-Turizm Rehberliği'!C155))</f>
        <v/>
      </c>
      <c r="E158" s="28" t="str">
        <f aca="false">IF($A158="","",$A158&amp;"-"&amp;$D158)</f>
        <v/>
      </c>
      <c r="F158" s="28" t="str">
        <f aca="false">IF($A158="","",IF('1-Turizm Rehberliği'!D155="","",'1-Turizm Rehberliği'!D155))</f>
        <v/>
      </c>
      <c r="G158" s="28" t="str">
        <f aca="false">IF($A158="","",IF('1-Turizm Rehberliği'!E155="","",'1-Turizm Rehberliği'!E155))</f>
        <v/>
      </c>
      <c r="H158" s="28" t="str">
        <f aca="false">IF($A158="","",IF('1-Turizm Rehberliği'!F155="","",'1-Turizm Rehberliği'!F155))</f>
        <v/>
      </c>
      <c r="I158" s="28" t="str">
        <f aca="false">IF($A158="","",IF('1-Turizm Rehberliği'!G155="","",'1-Turizm Rehberliği'!G155))</f>
        <v/>
      </c>
      <c r="J158" s="28" t="str">
        <f aca="false">IF($A158="","",IF('1-Turizm Rehberliği'!H155="","",'1-Turizm Rehberliği'!H155))</f>
        <v/>
      </c>
      <c r="K158" s="28" t="str">
        <f aca="false">IF($A158="","",IF('1-Turizm Rehberliği'!I155="","",'1-Turizm Rehberliği'!I155))</f>
        <v/>
      </c>
      <c r="L158" s="28" t="str">
        <f aca="false">IF($I158="","",MATCH($I158,{"08.00";"09.00";"10.00";"11.00";"12.00";"13.00";"14.00";"15.00";"16.00";"17.00"},0))</f>
        <v/>
      </c>
      <c r="M158" s="28" t="str">
        <f aca="false">IF(OR($L158="",$J158=""),"",$L158+$J158-1)</f>
        <v/>
      </c>
      <c r="N158" s="28" t="str">
        <f aca="false">IF($A158="","",IF(OR($L158="",$M158=""),"",IF($M158&gt;10,"⚠ Saat Taşıyor","")))</f>
        <v/>
      </c>
      <c r="O158" s="28" t="str">
        <f aca="false">IF($A158="","",IF(OR($G158="",$H158="",$L158=""),"",IF(SUMPRODUCT(($A$7:$A$606&lt;&gt;"")*($G$7:$G$606=$G158)*($H$7:$H$606=$H158)*(ROW($A$7:$A$606)&lt;&gt;158)*($L$7:$L$606&lt;=$M158)*($M$7:$M$606&gt;=$L158))&gt;0,"⚠ Çakışma","OK")))</f>
        <v/>
      </c>
      <c r="P158" s="28" t="str">
        <f aca="false">IF($A158="","",IF(OR($K158="",$H158="",$L158=""),"",IF(SUMPRODUCT(($A$7:$A$606&lt;&gt;"")*($K$7:$K$606=$K158)*($H$7:$H$606=$H158)*(ROW($A$7:$A$606)&lt;&gt;158)*($L$7:$L$606&lt;=$M158)*($M$7:$M$606&gt;=$L158))&gt;0,"⚠ Çakışma","OK")))</f>
        <v/>
      </c>
      <c r="Q158" s="28" t="str">
        <f aca="false">IF($A158="","",IF(OR($E158="",$H158="",$L158=""),"",IF(SUMPRODUCT(($A$7:$A$606&lt;&gt;"")*($E$7:$E$606=$E158)*($H$7:$H$606=$H158)*(ROW($A$7:$A$606)&lt;&gt;158)*($L$7:$L$606&lt;=$M158)*($M$7:$M$606&gt;=$L158))&gt;0,"⚠ Çakışma","OK")))</f>
        <v/>
      </c>
      <c r="R158" s="28" t="str">
        <f aca="false">IF($A158="","",IF(OR($N158&lt;&gt;"",$O158="⚠ Çakışma",$P158="⚠ Çakışma",$Q158="⚠ Çakışma"),"⚠ Kontrol Et","✓ Uygun"))</f>
        <v/>
      </c>
    </row>
    <row r="159" customFormat="false" ht="13.5" hidden="false" customHeight="true" outlineLevel="0" collapsed="false">
      <c r="A159" s="28" t="str">
        <f aca="false">IF('1-Turizm Rehberliği'!A156="","","Turizm Rehberliği")</f>
        <v/>
      </c>
      <c r="B159" s="28" t="str">
        <f aca="false">IF($A159="","",IF('1-Turizm Rehberliği'!A156="","",'1-Turizm Rehberliği'!A156))</f>
        <v/>
      </c>
      <c r="C159" s="29" t="str">
        <f aca="false">IF($A159="","",IF('1-Turizm Rehberliği'!B156="","",'1-Turizm Rehberliği'!B156))</f>
        <v/>
      </c>
      <c r="D159" s="28" t="str">
        <f aca="false">IF($A159="","",IF('1-Turizm Rehberliği'!C156="","",'1-Turizm Rehberliği'!C156))</f>
        <v/>
      </c>
      <c r="E159" s="28" t="str">
        <f aca="false">IF($A159="","",$A159&amp;"-"&amp;$D159)</f>
        <v/>
      </c>
      <c r="F159" s="28" t="str">
        <f aca="false">IF($A159="","",IF('1-Turizm Rehberliği'!D156="","",'1-Turizm Rehberliği'!D156))</f>
        <v/>
      </c>
      <c r="G159" s="28" t="str">
        <f aca="false">IF($A159="","",IF('1-Turizm Rehberliği'!E156="","",'1-Turizm Rehberliği'!E156))</f>
        <v/>
      </c>
      <c r="H159" s="28" t="str">
        <f aca="false">IF($A159="","",IF('1-Turizm Rehberliği'!F156="","",'1-Turizm Rehberliği'!F156))</f>
        <v/>
      </c>
      <c r="I159" s="28" t="str">
        <f aca="false">IF($A159="","",IF('1-Turizm Rehberliği'!G156="","",'1-Turizm Rehberliği'!G156))</f>
        <v/>
      </c>
      <c r="J159" s="28" t="str">
        <f aca="false">IF($A159="","",IF('1-Turizm Rehberliği'!H156="","",'1-Turizm Rehberliği'!H156))</f>
        <v/>
      </c>
      <c r="K159" s="28" t="str">
        <f aca="false">IF($A159="","",IF('1-Turizm Rehberliği'!I156="","",'1-Turizm Rehberliği'!I156))</f>
        <v/>
      </c>
      <c r="L159" s="28" t="str">
        <f aca="false">IF($I159="","",MATCH($I159,{"08.00";"09.00";"10.00";"11.00";"12.00";"13.00";"14.00";"15.00";"16.00";"17.00"},0))</f>
        <v/>
      </c>
      <c r="M159" s="28" t="str">
        <f aca="false">IF(OR($L159="",$J159=""),"",$L159+$J159-1)</f>
        <v/>
      </c>
      <c r="N159" s="28" t="str">
        <f aca="false">IF($A159="","",IF(OR($L159="",$M159=""),"",IF($M159&gt;10,"⚠ Saat Taşıyor","")))</f>
        <v/>
      </c>
      <c r="O159" s="28" t="str">
        <f aca="false">IF($A159="","",IF(OR($G159="",$H159="",$L159=""),"",IF(SUMPRODUCT(($A$7:$A$606&lt;&gt;"")*($G$7:$G$606=$G159)*($H$7:$H$606=$H159)*(ROW($A$7:$A$606)&lt;&gt;159)*($L$7:$L$606&lt;=$M159)*($M$7:$M$606&gt;=$L159))&gt;0,"⚠ Çakışma","OK")))</f>
        <v/>
      </c>
      <c r="P159" s="28" t="str">
        <f aca="false">IF($A159="","",IF(OR($K159="",$H159="",$L159=""),"",IF(SUMPRODUCT(($A$7:$A$606&lt;&gt;"")*($K$7:$K$606=$K159)*($H$7:$H$606=$H159)*(ROW($A$7:$A$606)&lt;&gt;159)*($L$7:$L$606&lt;=$M159)*($M$7:$M$606&gt;=$L159))&gt;0,"⚠ Çakışma","OK")))</f>
        <v/>
      </c>
      <c r="Q159" s="28" t="str">
        <f aca="false">IF($A159="","",IF(OR($E159="",$H159="",$L159=""),"",IF(SUMPRODUCT(($A$7:$A$606&lt;&gt;"")*($E$7:$E$606=$E159)*($H$7:$H$606=$H159)*(ROW($A$7:$A$606)&lt;&gt;159)*($L$7:$L$606&lt;=$M159)*($M$7:$M$606&gt;=$L159))&gt;0,"⚠ Çakışma","OK")))</f>
        <v/>
      </c>
      <c r="R159" s="28" t="str">
        <f aca="false">IF($A159="","",IF(OR($N159&lt;&gt;"",$O159="⚠ Çakışma",$P159="⚠ Çakışma",$Q159="⚠ Çakışma"),"⚠ Kontrol Et","✓ Uygun"))</f>
        <v/>
      </c>
    </row>
    <row r="160" customFormat="false" ht="13.5" hidden="false" customHeight="true" outlineLevel="0" collapsed="false">
      <c r="A160" s="28" t="str">
        <f aca="false">IF('1-Turizm Rehberliği'!A157="","","Turizm Rehberliği")</f>
        <v/>
      </c>
      <c r="B160" s="28" t="str">
        <f aca="false">IF($A160="","",IF('1-Turizm Rehberliği'!A157="","",'1-Turizm Rehberliği'!A157))</f>
        <v/>
      </c>
      <c r="C160" s="29" t="str">
        <f aca="false">IF($A160="","",IF('1-Turizm Rehberliği'!B157="","",'1-Turizm Rehberliği'!B157))</f>
        <v/>
      </c>
      <c r="D160" s="28" t="str">
        <f aca="false">IF($A160="","",IF('1-Turizm Rehberliği'!C157="","",'1-Turizm Rehberliği'!C157))</f>
        <v/>
      </c>
      <c r="E160" s="28" t="str">
        <f aca="false">IF($A160="","",$A160&amp;"-"&amp;$D160)</f>
        <v/>
      </c>
      <c r="F160" s="28" t="str">
        <f aca="false">IF($A160="","",IF('1-Turizm Rehberliği'!D157="","",'1-Turizm Rehberliği'!D157))</f>
        <v/>
      </c>
      <c r="G160" s="28" t="str">
        <f aca="false">IF($A160="","",IF('1-Turizm Rehberliği'!E157="","",'1-Turizm Rehberliği'!E157))</f>
        <v/>
      </c>
      <c r="H160" s="28" t="str">
        <f aca="false">IF($A160="","",IF('1-Turizm Rehberliği'!F157="","",'1-Turizm Rehberliği'!F157))</f>
        <v/>
      </c>
      <c r="I160" s="28" t="str">
        <f aca="false">IF($A160="","",IF('1-Turizm Rehberliği'!G157="","",'1-Turizm Rehberliği'!G157))</f>
        <v/>
      </c>
      <c r="J160" s="28" t="str">
        <f aca="false">IF($A160="","",IF('1-Turizm Rehberliği'!H157="","",'1-Turizm Rehberliği'!H157))</f>
        <v/>
      </c>
      <c r="K160" s="28" t="str">
        <f aca="false">IF($A160="","",IF('1-Turizm Rehberliği'!I157="","",'1-Turizm Rehberliği'!I157))</f>
        <v/>
      </c>
      <c r="L160" s="28" t="str">
        <f aca="false">IF($I160="","",MATCH($I160,{"08.00";"09.00";"10.00";"11.00";"12.00";"13.00";"14.00";"15.00";"16.00";"17.00"},0))</f>
        <v/>
      </c>
      <c r="M160" s="28" t="str">
        <f aca="false">IF(OR($L160="",$J160=""),"",$L160+$J160-1)</f>
        <v/>
      </c>
      <c r="N160" s="28" t="str">
        <f aca="false">IF($A160="","",IF(OR($L160="",$M160=""),"",IF($M160&gt;10,"⚠ Saat Taşıyor","")))</f>
        <v/>
      </c>
      <c r="O160" s="28" t="str">
        <f aca="false">IF($A160="","",IF(OR($G160="",$H160="",$L160=""),"",IF(SUMPRODUCT(($A$7:$A$606&lt;&gt;"")*($G$7:$G$606=$G160)*($H$7:$H$606=$H160)*(ROW($A$7:$A$606)&lt;&gt;160)*($L$7:$L$606&lt;=$M160)*($M$7:$M$606&gt;=$L160))&gt;0,"⚠ Çakışma","OK")))</f>
        <v/>
      </c>
      <c r="P160" s="28" t="str">
        <f aca="false">IF($A160="","",IF(OR($K160="",$H160="",$L160=""),"",IF(SUMPRODUCT(($A$7:$A$606&lt;&gt;"")*($K$7:$K$606=$K160)*($H$7:$H$606=$H160)*(ROW($A$7:$A$606)&lt;&gt;160)*($L$7:$L$606&lt;=$M160)*($M$7:$M$606&gt;=$L160))&gt;0,"⚠ Çakışma","OK")))</f>
        <v/>
      </c>
      <c r="Q160" s="28" t="str">
        <f aca="false">IF($A160="","",IF(OR($E160="",$H160="",$L160=""),"",IF(SUMPRODUCT(($A$7:$A$606&lt;&gt;"")*($E$7:$E$606=$E160)*($H$7:$H$606=$H160)*(ROW($A$7:$A$606)&lt;&gt;160)*($L$7:$L$606&lt;=$M160)*($M$7:$M$606&gt;=$L160))&gt;0,"⚠ Çakışma","OK")))</f>
        <v/>
      </c>
      <c r="R160" s="28" t="str">
        <f aca="false">IF($A160="","",IF(OR($N160&lt;&gt;"",$O160="⚠ Çakışma",$P160="⚠ Çakışma",$Q160="⚠ Çakışma"),"⚠ Kontrol Et","✓ Uygun"))</f>
        <v/>
      </c>
    </row>
    <row r="161" customFormat="false" ht="13.5" hidden="false" customHeight="true" outlineLevel="0" collapsed="false">
      <c r="A161" s="28" t="str">
        <f aca="false">IF('1-Turizm Rehberliği'!A158="","","Turizm Rehberliği")</f>
        <v/>
      </c>
      <c r="B161" s="28" t="str">
        <f aca="false">IF($A161="","",IF('1-Turizm Rehberliği'!A158="","",'1-Turizm Rehberliği'!A158))</f>
        <v/>
      </c>
      <c r="C161" s="29" t="str">
        <f aca="false">IF($A161="","",IF('1-Turizm Rehberliği'!B158="","",'1-Turizm Rehberliği'!B158))</f>
        <v/>
      </c>
      <c r="D161" s="28" t="str">
        <f aca="false">IF($A161="","",IF('1-Turizm Rehberliği'!C158="","",'1-Turizm Rehberliği'!C158))</f>
        <v/>
      </c>
      <c r="E161" s="28" t="str">
        <f aca="false">IF($A161="","",$A161&amp;"-"&amp;$D161)</f>
        <v/>
      </c>
      <c r="F161" s="28" t="str">
        <f aca="false">IF($A161="","",IF('1-Turizm Rehberliği'!D158="","",'1-Turizm Rehberliği'!D158))</f>
        <v/>
      </c>
      <c r="G161" s="28" t="str">
        <f aca="false">IF($A161="","",IF('1-Turizm Rehberliği'!E158="","",'1-Turizm Rehberliği'!E158))</f>
        <v/>
      </c>
      <c r="H161" s="28" t="str">
        <f aca="false">IF($A161="","",IF('1-Turizm Rehberliği'!F158="","",'1-Turizm Rehberliği'!F158))</f>
        <v/>
      </c>
      <c r="I161" s="28" t="str">
        <f aca="false">IF($A161="","",IF('1-Turizm Rehberliği'!G158="","",'1-Turizm Rehberliği'!G158))</f>
        <v/>
      </c>
      <c r="J161" s="28" t="str">
        <f aca="false">IF($A161="","",IF('1-Turizm Rehberliği'!H158="","",'1-Turizm Rehberliği'!H158))</f>
        <v/>
      </c>
      <c r="K161" s="28" t="str">
        <f aca="false">IF($A161="","",IF('1-Turizm Rehberliği'!I158="","",'1-Turizm Rehberliği'!I158))</f>
        <v/>
      </c>
      <c r="L161" s="28" t="str">
        <f aca="false">IF($I161="","",MATCH($I161,{"08.00";"09.00";"10.00";"11.00";"12.00";"13.00";"14.00";"15.00";"16.00";"17.00"},0))</f>
        <v/>
      </c>
      <c r="M161" s="28" t="str">
        <f aca="false">IF(OR($L161="",$J161=""),"",$L161+$J161-1)</f>
        <v/>
      </c>
      <c r="N161" s="28" t="str">
        <f aca="false">IF($A161="","",IF(OR($L161="",$M161=""),"",IF($M161&gt;10,"⚠ Saat Taşıyor","")))</f>
        <v/>
      </c>
      <c r="O161" s="28" t="str">
        <f aca="false">IF($A161="","",IF(OR($G161="",$H161="",$L161=""),"",IF(SUMPRODUCT(($A$7:$A$606&lt;&gt;"")*($G$7:$G$606=$G161)*($H$7:$H$606=$H161)*(ROW($A$7:$A$606)&lt;&gt;161)*($L$7:$L$606&lt;=$M161)*($M$7:$M$606&gt;=$L161))&gt;0,"⚠ Çakışma","OK")))</f>
        <v/>
      </c>
      <c r="P161" s="28" t="str">
        <f aca="false">IF($A161="","",IF(OR($K161="",$H161="",$L161=""),"",IF(SUMPRODUCT(($A$7:$A$606&lt;&gt;"")*($K$7:$K$606=$K161)*($H$7:$H$606=$H161)*(ROW($A$7:$A$606)&lt;&gt;161)*($L$7:$L$606&lt;=$M161)*($M$7:$M$606&gt;=$L161))&gt;0,"⚠ Çakışma","OK")))</f>
        <v/>
      </c>
      <c r="Q161" s="28" t="str">
        <f aca="false">IF($A161="","",IF(OR($E161="",$H161="",$L161=""),"",IF(SUMPRODUCT(($A$7:$A$606&lt;&gt;"")*($E$7:$E$606=$E161)*($H$7:$H$606=$H161)*(ROW($A$7:$A$606)&lt;&gt;161)*($L$7:$L$606&lt;=$M161)*($M$7:$M$606&gt;=$L161))&gt;0,"⚠ Çakışma","OK")))</f>
        <v/>
      </c>
      <c r="R161" s="28" t="str">
        <f aca="false">IF($A161="","",IF(OR($N161&lt;&gt;"",$O161="⚠ Çakışma",$P161="⚠ Çakışma",$Q161="⚠ Çakışma"),"⚠ Kontrol Et","✓ Uygun"))</f>
        <v/>
      </c>
    </row>
    <row r="162" customFormat="false" ht="13.5" hidden="false" customHeight="true" outlineLevel="0" collapsed="false">
      <c r="A162" s="28" t="str">
        <f aca="false">IF('1-Turizm Rehberliği'!A159="","","Turizm Rehberliği")</f>
        <v/>
      </c>
      <c r="B162" s="28" t="str">
        <f aca="false">IF($A162="","",IF('1-Turizm Rehberliği'!A159="","",'1-Turizm Rehberliği'!A159))</f>
        <v/>
      </c>
      <c r="C162" s="29" t="str">
        <f aca="false">IF($A162="","",IF('1-Turizm Rehberliği'!B159="","",'1-Turizm Rehberliği'!B159))</f>
        <v/>
      </c>
      <c r="D162" s="28" t="str">
        <f aca="false">IF($A162="","",IF('1-Turizm Rehberliği'!C159="","",'1-Turizm Rehberliği'!C159))</f>
        <v/>
      </c>
      <c r="E162" s="28" t="str">
        <f aca="false">IF($A162="","",$A162&amp;"-"&amp;$D162)</f>
        <v/>
      </c>
      <c r="F162" s="28" t="str">
        <f aca="false">IF($A162="","",IF('1-Turizm Rehberliği'!D159="","",'1-Turizm Rehberliği'!D159))</f>
        <v/>
      </c>
      <c r="G162" s="28" t="str">
        <f aca="false">IF($A162="","",IF('1-Turizm Rehberliği'!E159="","",'1-Turizm Rehberliği'!E159))</f>
        <v/>
      </c>
      <c r="H162" s="28" t="str">
        <f aca="false">IF($A162="","",IF('1-Turizm Rehberliği'!F159="","",'1-Turizm Rehberliği'!F159))</f>
        <v/>
      </c>
      <c r="I162" s="28" t="str">
        <f aca="false">IF($A162="","",IF('1-Turizm Rehberliği'!G159="","",'1-Turizm Rehberliği'!G159))</f>
        <v/>
      </c>
      <c r="J162" s="28" t="str">
        <f aca="false">IF($A162="","",IF('1-Turizm Rehberliği'!H159="","",'1-Turizm Rehberliği'!H159))</f>
        <v/>
      </c>
      <c r="K162" s="28" t="str">
        <f aca="false">IF($A162="","",IF('1-Turizm Rehberliği'!I159="","",'1-Turizm Rehberliği'!I159))</f>
        <v/>
      </c>
      <c r="L162" s="28" t="str">
        <f aca="false">IF($I162="","",MATCH($I162,{"08.00";"09.00";"10.00";"11.00";"12.00";"13.00";"14.00";"15.00";"16.00";"17.00"},0))</f>
        <v/>
      </c>
      <c r="M162" s="28" t="str">
        <f aca="false">IF(OR($L162="",$J162=""),"",$L162+$J162-1)</f>
        <v/>
      </c>
      <c r="N162" s="28" t="str">
        <f aca="false">IF($A162="","",IF(OR($L162="",$M162=""),"",IF($M162&gt;10,"⚠ Saat Taşıyor","")))</f>
        <v/>
      </c>
      <c r="O162" s="28" t="str">
        <f aca="false">IF($A162="","",IF(OR($G162="",$H162="",$L162=""),"",IF(SUMPRODUCT(($A$7:$A$606&lt;&gt;"")*($G$7:$G$606=$G162)*($H$7:$H$606=$H162)*(ROW($A$7:$A$606)&lt;&gt;162)*($L$7:$L$606&lt;=$M162)*($M$7:$M$606&gt;=$L162))&gt;0,"⚠ Çakışma","OK")))</f>
        <v/>
      </c>
      <c r="P162" s="28" t="str">
        <f aca="false">IF($A162="","",IF(OR($K162="",$H162="",$L162=""),"",IF(SUMPRODUCT(($A$7:$A$606&lt;&gt;"")*($K$7:$K$606=$K162)*($H$7:$H$606=$H162)*(ROW($A$7:$A$606)&lt;&gt;162)*($L$7:$L$606&lt;=$M162)*($M$7:$M$606&gt;=$L162))&gt;0,"⚠ Çakışma","OK")))</f>
        <v/>
      </c>
      <c r="Q162" s="28" t="str">
        <f aca="false">IF($A162="","",IF(OR($E162="",$H162="",$L162=""),"",IF(SUMPRODUCT(($A$7:$A$606&lt;&gt;"")*($E$7:$E$606=$E162)*($H$7:$H$606=$H162)*(ROW($A$7:$A$606)&lt;&gt;162)*($L$7:$L$606&lt;=$M162)*($M$7:$M$606&gt;=$L162))&gt;0,"⚠ Çakışma","OK")))</f>
        <v/>
      </c>
      <c r="R162" s="28" t="str">
        <f aca="false">IF($A162="","",IF(OR($N162&lt;&gt;"",$O162="⚠ Çakışma",$P162="⚠ Çakışma",$Q162="⚠ Çakışma"),"⚠ Kontrol Et","✓ Uygun"))</f>
        <v/>
      </c>
    </row>
    <row r="163" customFormat="false" ht="13.5" hidden="false" customHeight="true" outlineLevel="0" collapsed="false">
      <c r="A163" s="28" t="str">
        <f aca="false">IF('1-Turizm Rehberliği'!A160="","","Turizm Rehberliği")</f>
        <v/>
      </c>
      <c r="B163" s="28" t="str">
        <f aca="false">IF($A163="","",IF('1-Turizm Rehberliği'!A160="","",'1-Turizm Rehberliği'!A160))</f>
        <v/>
      </c>
      <c r="C163" s="29" t="str">
        <f aca="false">IF($A163="","",IF('1-Turizm Rehberliği'!B160="","",'1-Turizm Rehberliği'!B160))</f>
        <v/>
      </c>
      <c r="D163" s="28" t="str">
        <f aca="false">IF($A163="","",IF('1-Turizm Rehberliği'!C160="","",'1-Turizm Rehberliği'!C160))</f>
        <v/>
      </c>
      <c r="E163" s="28" t="str">
        <f aca="false">IF($A163="","",$A163&amp;"-"&amp;$D163)</f>
        <v/>
      </c>
      <c r="F163" s="28" t="str">
        <f aca="false">IF($A163="","",IF('1-Turizm Rehberliği'!D160="","",'1-Turizm Rehberliği'!D160))</f>
        <v/>
      </c>
      <c r="G163" s="28" t="str">
        <f aca="false">IF($A163="","",IF('1-Turizm Rehberliği'!E160="","",'1-Turizm Rehberliği'!E160))</f>
        <v/>
      </c>
      <c r="H163" s="28" t="str">
        <f aca="false">IF($A163="","",IF('1-Turizm Rehberliği'!F160="","",'1-Turizm Rehberliği'!F160))</f>
        <v/>
      </c>
      <c r="I163" s="28" t="str">
        <f aca="false">IF($A163="","",IF('1-Turizm Rehberliği'!G160="","",'1-Turizm Rehberliği'!G160))</f>
        <v/>
      </c>
      <c r="J163" s="28" t="str">
        <f aca="false">IF($A163="","",IF('1-Turizm Rehberliği'!H160="","",'1-Turizm Rehberliği'!H160))</f>
        <v/>
      </c>
      <c r="K163" s="28" t="str">
        <f aca="false">IF($A163="","",IF('1-Turizm Rehberliği'!I160="","",'1-Turizm Rehberliği'!I160))</f>
        <v/>
      </c>
      <c r="L163" s="28" t="str">
        <f aca="false">IF($I163="","",MATCH($I163,{"08.00";"09.00";"10.00";"11.00";"12.00";"13.00";"14.00";"15.00";"16.00";"17.00"},0))</f>
        <v/>
      </c>
      <c r="M163" s="28" t="str">
        <f aca="false">IF(OR($L163="",$J163=""),"",$L163+$J163-1)</f>
        <v/>
      </c>
      <c r="N163" s="28" t="str">
        <f aca="false">IF($A163="","",IF(OR($L163="",$M163=""),"",IF($M163&gt;10,"⚠ Saat Taşıyor","")))</f>
        <v/>
      </c>
      <c r="O163" s="28" t="str">
        <f aca="false">IF($A163="","",IF(OR($G163="",$H163="",$L163=""),"",IF(SUMPRODUCT(($A$7:$A$606&lt;&gt;"")*($G$7:$G$606=$G163)*($H$7:$H$606=$H163)*(ROW($A$7:$A$606)&lt;&gt;163)*($L$7:$L$606&lt;=$M163)*($M$7:$M$606&gt;=$L163))&gt;0,"⚠ Çakışma","OK")))</f>
        <v/>
      </c>
      <c r="P163" s="28" t="str">
        <f aca="false">IF($A163="","",IF(OR($K163="",$H163="",$L163=""),"",IF(SUMPRODUCT(($A$7:$A$606&lt;&gt;"")*($K$7:$K$606=$K163)*($H$7:$H$606=$H163)*(ROW($A$7:$A$606)&lt;&gt;163)*($L$7:$L$606&lt;=$M163)*($M$7:$M$606&gt;=$L163))&gt;0,"⚠ Çakışma","OK")))</f>
        <v/>
      </c>
      <c r="Q163" s="28" t="str">
        <f aca="false">IF($A163="","",IF(OR($E163="",$H163="",$L163=""),"",IF(SUMPRODUCT(($A$7:$A$606&lt;&gt;"")*($E$7:$E$606=$E163)*($H$7:$H$606=$H163)*(ROW($A$7:$A$606)&lt;&gt;163)*($L$7:$L$606&lt;=$M163)*($M$7:$M$606&gt;=$L163))&gt;0,"⚠ Çakışma","OK")))</f>
        <v/>
      </c>
      <c r="R163" s="28" t="str">
        <f aca="false">IF($A163="","",IF(OR($N163&lt;&gt;"",$O163="⚠ Çakışma",$P163="⚠ Çakışma",$Q163="⚠ Çakışma"),"⚠ Kontrol Et","✓ Uygun"))</f>
        <v/>
      </c>
    </row>
    <row r="164" customFormat="false" ht="13.5" hidden="false" customHeight="true" outlineLevel="0" collapsed="false">
      <c r="A164" s="28" t="str">
        <f aca="false">IF('1-Turizm Rehberliği'!A161="","","Turizm Rehberliği")</f>
        <v/>
      </c>
      <c r="B164" s="28" t="str">
        <f aca="false">IF($A164="","",IF('1-Turizm Rehberliği'!A161="","",'1-Turizm Rehberliği'!A161))</f>
        <v/>
      </c>
      <c r="C164" s="29" t="str">
        <f aca="false">IF($A164="","",IF('1-Turizm Rehberliği'!B161="","",'1-Turizm Rehberliği'!B161))</f>
        <v/>
      </c>
      <c r="D164" s="28" t="str">
        <f aca="false">IF($A164="","",IF('1-Turizm Rehberliği'!C161="","",'1-Turizm Rehberliği'!C161))</f>
        <v/>
      </c>
      <c r="E164" s="28" t="str">
        <f aca="false">IF($A164="","",$A164&amp;"-"&amp;$D164)</f>
        <v/>
      </c>
      <c r="F164" s="28" t="str">
        <f aca="false">IF($A164="","",IF('1-Turizm Rehberliği'!D161="","",'1-Turizm Rehberliği'!D161))</f>
        <v/>
      </c>
      <c r="G164" s="28" t="str">
        <f aca="false">IF($A164="","",IF('1-Turizm Rehberliği'!E161="","",'1-Turizm Rehberliği'!E161))</f>
        <v/>
      </c>
      <c r="H164" s="28" t="str">
        <f aca="false">IF($A164="","",IF('1-Turizm Rehberliği'!F161="","",'1-Turizm Rehberliği'!F161))</f>
        <v/>
      </c>
      <c r="I164" s="28" t="str">
        <f aca="false">IF($A164="","",IF('1-Turizm Rehberliği'!G161="","",'1-Turizm Rehberliği'!G161))</f>
        <v/>
      </c>
      <c r="J164" s="28" t="str">
        <f aca="false">IF($A164="","",IF('1-Turizm Rehberliği'!H161="","",'1-Turizm Rehberliği'!H161))</f>
        <v/>
      </c>
      <c r="K164" s="28" t="str">
        <f aca="false">IF($A164="","",IF('1-Turizm Rehberliği'!I161="","",'1-Turizm Rehberliği'!I161))</f>
        <v/>
      </c>
      <c r="L164" s="28" t="str">
        <f aca="false">IF($I164="","",MATCH($I164,{"08.00";"09.00";"10.00";"11.00";"12.00";"13.00";"14.00";"15.00";"16.00";"17.00"},0))</f>
        <v/>
      </c>
      <c r="M164" s="28" t="str">
        <f aca="false">IF(OR($L164="",$J164=""),"",$L164+$J164-1)</f>
        <v/>
      </c>
      <c r="N164" s="28" t="str">
        <f aca="false">IF($A164="","",IF(OR($L164="",$M164=""),"",IF($M164&gt;10,"⚠ Saat Taşıyor","")))</f>
        <v/>
      </c>
      <c r="O164" s="28" t="str">
        <f aca="false">IF($A164="","",IF(OR($G164="",$H164="",$L164=""),"",IF(SUMPRODUCT(($A$7:$A$606&lt;&gt;"")*($G$7:$G$606=$G164)*($H$7:$H$606=$H164)*(ROW($A$7:$A$606)&lt;&gt;164)*($L$7:$L$606&lt;=$M164)*($M$7:$M$606&gt;=$L164))&gt;0,"⚠ Çakışma","OK")))</f>
        <v/>
      </c>
      <c r="P164" s="28" t="str">
        <f aca="false">IF($A164="","",IF(OR($K164="",$H164="",$L164=""),"",IF(SUMPRODUCT(($A$7:$A$606&lt;&gt;"")*($K$7:$K$606=$K164)*($H$7:$H$606=$H164)*(ROW($A$7:$A$606)&lt;&gt;164)*($L$7:$L$606&lt;=$M164)*($M$7:$M$606&gt;=$L164))&gt;0,"⚠ Çakışma","OK")))</f>
        <v/>
      </c>
      <c r="Q164" s="28" t="str">
        <f aca="false">IF($A164="","",IF(OR($E164="",$H164="",$L164=""),"",IF(SUMPRODUCT(($A$7:$A$606&lt;&gt;"")*($E$7:$E$606=$E164)*($H$7:$H$606=$H164)*(ROW($A$7:$A$606)&lt;&gt;164)*($L$7:$L$606&lt;=$M164)*($M$7:$M$606&gt;=$L164))&gt;0,"⚠ Çakışma","OK")))</f>
        <v/>
      </c>
      <c r="R164" s="28" t="str">
        <f aca="false">IF($A164="","",IF(OR($N164&lt;&gt;"",$O164="⚠ Çakışma",$P164="⚠ Çakışma",$Q164="⚠ Çakışma"),"⚠ Kontrol Et","✓ Uygun"))</f>
        <v/>
      </c>
    </row>
    <row r="165" customFormat="false" ht="13.5" hidden="false" customHeight="true" outlineLevel="0" collapsed="false">
      <c r="A165" s="28" t="str">
        <f aca="false">IF('1-Turizm Rehberliği'!A162="","","Turizm Rehberliği")</f>
        <v/>
      </c>
      <c r="B165" s="28" t="str">
        <f aca="false">IF($A165="","",IF('1-Turizm Rehberliği'!A162="","",'1-Turizm Rehberliği'!A162))</f>
        <v/>
      </c>
      <c r="C165" s="29" t="str">
        <f aca="false">IF($A165="","",IF('1-Turizm Rehberliği'!B162="","",'1-Turizm Rehberliği'!B162))</f>
        <v/>
      </c>
      <c r="D165" s="28" t="str">
        <f aca="false">IF($A165="","",IF('1-Turizm Rehberliği'!C162="","",'1-Turizm Rehberliği'!C162))</f>
        <v/>
      </c>
      <c r="E165" s="28" t="str">
        <f aca="false">IF($A165="","",$A165&amp;"-"&amp;$D165)</f>
        <v/>
      </c>
      <c r="F165" s="28" t="str">
        <f aca="false">IF($A165="","",IF('1-Turizm Rehberliği'!D162="","",'1-Turizm Rehberliği'!D162))</f>
        <v/>
      </c>
      <c r="G165" s="28" t="str">
        <f aca="false">IF($A165="","",IF('1-Turizm Rehberliği'!E162="","",'1-Turizm Rehberliği'!E162))</f>
        <v/>
      </c>
      <c r="H165" s="28" t="str">
        <f aca="false">IF($A165="","",IF('1-Turizm Rehberliği'!F162="","",'1-Turizm Rehberliği'!F162))</f>
        <v/>
      </c>
      <c r="I165" s="28" t="str">
        <f aca="false">IF($A165="","",IF('1-Turizm Rehberliği'!G162="","",'1-Turizm Rehberliği'!G162))</f>
        <v/>
      </c>
      <c r="J165" s="28" t="str">
        <f aca="false">IF($A165="","",IF('1-Turizm Rehberliği'!H162="","",'1-Turizm Rehberliği'!H162))</f>
        <v/>
      </c>
      <c r="K165" s="28" t="str">
        <f aca="false">IF($A165="","",IF('1-Turizm Rehberliği'!I162="","",'1-Turizm Rehberliği'!I162))</f>
        <v/>
      </c>
      <c r="L165" s="28" t="str">
        <f aca="false">IF($I165="","",MATCH($I165,{"08.00";"09.00";"10.00";"11.00";"12.00";"13.00";"14.00";"15.00";"16.00";"17.00"},0))</f>
        <v/>
      </c>
      <c r="M165" s="28" t="str">
        <f aca="false">IF(OR($L165="",$J165=""),"",$L165+$J165-1)</f>
        <v/>
      </c>
      <c r="N165" s="28" t="str">
        <f aca="false">IF($A165="","",IF(OR($L165="",$M165=""),"",IF($M165&gt;10,"⚠ Saat Taşıyor","")))</f>
        <v/>
      </c>
      <c r="O165" s="28" t="str">
        <f aca="false">IF($A165="","",IF(OR($G165="",$H165="",$L165=""),"",IF(SUMPRODUCT(($A$7:$A$606&lt;&gt;"")*($G$7:$G$606=$G165)*($H$7:$H$606=$H165)*(ROW($A$7:$A$606)&lt;&gt;165)*($L$7:$L$606&lt;=$M165)*($M$7:$M$606&gt;=$L165))&gt;0,"⚠ Çakışma","OK")))</f>
        <v/>
      </c>
      <c r="P165" s="28" t="str">
        <f aca="false">IF($A165="","",IF(OR($K165="",$H165="",$L165=""),"",IF(SUMPRODUCT(($A$7:$A$606&lt;&gt;"")*($K$7:$K$606=$K165)*($H$7:$H$606=$H165)*(ROW($A$7:$A$606)&lt;&gt;165)*($L$7:$L$606&lt;=$M165)*($M$7:$M$606&gt;=$L165))&gt;0,"⚠ Çakışma","OK")))</f>
        <v/>
      </c>
      <c r="Q165" s="28" t="str">
        <f aca="false">IF($A165="","",IF(OR($E165="",$H165="",$L165=""),"",IF(SUMPRODUCT(($A$7:$A$606&lt;&gt;"")*($E$7:$E$606=$E165)*($H$7:$H$606=$H165)*(ROW($A$7:$A$606)&lt;&gt;165)*($L$7:$L$606&lt;=$M165)*($M$7:$M$606&gt;=$L165))&gt;0,"⚠ Çakışma","OK")))</f>
        <v/>
      </c>
      <c r="R165" s="28" t="str">
        <f aca="false">IF($A165="","",IF(OR($N165&lt;&gt;"",$O165="⚠ Çakışma",$P165="⚠ Çakışma",$Q165="⚠ Çakışma"),"⚠ Kontrol Et","✓ Uygun"))</f>
        <v/>
      </c>
    </row>
    <row r="166" customFormat="false" ht="13.5" hidden="false" customHeight="true" outlineLevel="0" collapsed="false">
      <c r="A166" s="28" t="str">
        <f aca="false">IF('1-Turizm Rehberliği'!A163="","","Turizm Rehberliği")</f>
        <v/>
      </c>
      <c r="B166" s="28" t="str">
        <f aca="false">IF($A166="","",IF('1-Turizm Rehberliği'!A163="","",'1-Turizm Rehberliği'!A163))</f>
        <v/>
      </c>
      <c r="C166" s="29" t="str">
        <f aca="false">IF($A166="","",IF('1-Turizm Rehberliği'!B163="","",'1-Turizm Rehberliği'!B163))</f>
        <v/>
      </c>
      <c r="D166" s="28" t="str">
        <f aca="false">IF($A166="","",IF('1-Turizm Rehberliği'!C163="","",'1-Turizm Rehberliği'!C163))</f>
        <v/>
      </c>
      <c r="E166" s="28" t="str">
        <f aca="false">IF($A166="","",$A166&amp;"-"&amp;$D166)</f>
        <v/>
      </c>
      <c r="F166" s="28" t="str">
        <f aca="false">IF($A166="","",IF('1-Turizm Rehberliği'!D163="","",'1-Turizm Rehberliği'!D163))</f>
        <v/>
      </c>
      <c r="G166" s="28" t="str">
        <f aca="false">IF($A166="","",IF('1-Turizm Rehberliği'!E163="","",'1-Turizm Rehberliği'!E163))</f>
        <v/>
      </c>
      <c r="H166" s="28" t="str">
        <f aca="false">IF($A166="","",IF('1-Turizm Rehberliği'!F163="","",'1-Turizm Rehberliği'!F163))</f>
        <v/>
      </c>
      <c r="I166" s="28" t="str">
        <f aca="false">IF($A166="","",IF('1-Turizm Rehberliği'!G163="","",'1-Turizm Rehberliği'!G163))</f>
        <v/>
      </c>
      <c r="J166" s="28" t="str">
        <f aca="false">IF($A166="","",IF('1-Turizm Rehberliği'!H163="","",'1-Turizm Rehberliği'!H163))</f>
        <v/>
      </c>
      <c r="K166" s="28" t="str">
        <f aca="false">IF($A166="","",IF('1-Turizm Rehberliği'!I163="","",'1-Turizm Rehberliği'!I163))</f>
        <v/>
      </c>
      <c r="L166" s="28" t="str">
        <f aca="false">IF($I166="","",MATCH($I166,{"08.00";"09.00";"10.00";"11.00";"12.00";"13.00";"14.00";"15.00";"16.00";"17.00"},0))</f>
        <v/>
      </c>
      <c r="M166" s="28" t="str">
        <f aca="false">IF(OR($L166="",$J166=""),"",$L166+$J166-1)</f>
        <v/>
      </c>
      <c r="N166" s="28" t="str">
        <f aca="false">IF($A166="","",IF(OR($L166="",$M166=""),"",IF($M166&gt;10,"⚠ Saat Taşıyor","")))</f>
        <v/>
      </c>
      <c r="O166" s="28" t="str">
        <f aca="false">IF($A166="","",IF(OR($G166="",$H166="",$L166=""),"",IF(SUMPRODUCT(($A$7:$A$606&lt;&gt;"")*($G$7:$G$606=$G166)*($H$7:$H$606=$H166)*(ROW($A$7:$A$606)&lt;&gt;166)*($L$7:$L$606&lt;=$M166)*($M$7:$M$606&gt;=$L166))&gt;0,"⚠ Çakışma","OK")))</f>
        <v/>
      </c>
      <c r="P166" s="28" t="str">
        <f aca="false">IF($A166="","",IF(OR($K166="",$H166="",$L166=""),"",IF(SUMPRODUCT(($A$7:$A$606&lt;&gt;"")*($K$7:$K$606=$K166)*($H$7:$H$606=$H166)*(ROW($A$7:$A$606)&lt;&gt;166)*($L$7:$L$606&lt;=$M166)*($M$7:$M$606&gt;=$L166))&gt;0,"⚠ Çakışma","OK")))</f>
        <v/>
      </c>
      <c r="Q166" s="28" t="str">
        <f aca="false">IF($A166="","",IF(OR($E166="",$H166="",$L166=""),"",IF(SUMPRODUCT(($A$7:$A$606&lt;&gt;"")*($E$7:$E$606=$E166)*($H$7:$H$606=$H166)*(ROW($A$7:$A$606)&lt;&gt;166)*($L$7:$L$606&lt;=$M166)*($M$7:$M$606&gt;=$L166))&gt;0,"⚠ Çakışma","OK")))</f>
        <v/>
      </c>
      <c r="R166" s="28" t="str">
        <f aca="false">IF($A166="","",IF(OR($N166&lt;&gt;"",$O166="⚠ Çakışma",$P166="⚠ Çakışma",$Q166="⚠ Çakışma"),"⚠ Kontrol Et","✓ Uygun"))</f>
        <v/>
      </c>
    </row>
    <row r="167" customFormat="false" ht="13.5" hidden="false" customHeight="true" outlineLevel="0" collapsed="false">
      <c r="A167" s="28" t="str">
        <f aca="false">IF('1-Turizm Rehberliği'!A164="","","Turizm Rehberliği")</f>
        <v/>
      </c>
      <c r="B167" s="28" t="str">
        <f aca="false">IF($A167="","",IF('1-Turizm Rehberliği'!A164="","",'1-Turizm Rehberliği'!A164))</f>
        <v/>
      </c>
      <c r="C167" s="29" t="str">
        <f aca="false">IF($A167="","",IF('1-Turizm Rehberliği'!B164="","",'1-Turizm Rehberliği'!B164))</f>
        <v/>
      </c>
      <c r="D167" s="28" t="str">
        <f aca="false">IF($A167="","",IF('1-Turizm Rehberliği'!C164="","",'1-Turizm Rehberliği'!C164))</f>
        <v/>
      </c>
      <c r="E167" s="28" t="str">
        <f aca="false">IF($A167="","",$A167&amp;"-"&amp;$D167)</f>
        <v/>
      </c>
      <c r="F167" s="28" t="str">
        <f aca="false">IF($A167="","",IF('1-Turizm Rehberliği'!D164="","",'1-Turizm Rehberliği'!D164))</f>
        <v/>
      </c>
      <c r="G167" s="28" t="str">
        <f aca="false">IF($A167="","",IF('1-Turizm Rehberliği'!E164="","",'1-Turizm Rehberliği'!E164))</f>
        <v/>
      </c>
      <c r="H167" s="28" t="str">
        <f aca="false">IF($A167="","",IF('1-Turizm Rehberliği'!F164="","",'1-Turizm Rehberliği'!F164))</f>
        <v/>
      </c>
      <c r="I167" s="28" t="str">
        <f aca="false">IF($A167="","",IF('1-Turizm Rehberliği'!G164="","",'1-Turizm Rehberliği'!G164))</f>
        <v/>
      </c>
      <c r="J167" s="28" t="str">
        <f aca="false">IF($A167="","",IF('1-Turizm Rehberliği'!H164="","",'1-Turizm Rehberliği'!H164))</f>
        <v/>
      </c>
      <c r="K167" s="28" t="str">
        <f aca="false">IF($A167="","",IF('1-Turizm Rehberliği'!I164="","",'1-Turizm Rehberliği'!I164))</f>
        <v/>
      </c>
      <c r="L167" s="28" t="str">
        <f aca="false">IF($I167="","",MATCH($I167,{"08.00";"09.00";"10.00";"11.00";"12.00";"13.00";"14.00";"15.00";"16.00";"17.00"},0))</f>
        <v/>
      </c>
      <c r="M167" s="28" t="str">
        <f aca="false">IF(OR($L167="",$J167=""),"",$L167+$J167-1)</f>
        <v/>
      </c>
      <c r="N167" s="28" t="str">
        <f aca="false">IF($A167="","",IF(OR($L167="",$M167=""),"",IF($M167&gt;10,"⚠ Saat Taşıyor","")))</f>
        <v/>
      </c>
      <c r="O167" s="28" t="str">
        <f aca="false">IF($A167="","",IF(OR($G167="",$H167="",$L167=""),"",IF(SUMPRODUCT(($A$7:$A$606&lt;&gt;"")*($G$7:$G$606=$G167)*($H$7:$H$606=$H167)*(ROW($A$7:$A$606)&lt;&gt;167)*($L$7:$L$606&lt;=$M167)*($M$7:$M$606&gt;=$L167))&gt;0,"⚠ Çakışma","OK")))</f>
        <v/>
      </c>
      <c r="P167" s="28" t="str">
        <f aca="false">IF($A167="","",IF(OR($K167="",$H167="",$L167=""),"",IF(SUMPRODUCT(($A$7:$A$606&lt;&gt;"")*($K$7:$K$606=$K167)*($H$7:$H$606=$H167)*(ROW($A$7:$A$606)&lt;&gt;167)*($L$7:$L$606&lt;=$M167)*($M$7:$M$606&gt;=$L167))&gt;0,"⚠ Çakışma","OK")))</f>
        <v/>
      </c>
      <c r="Q167" s="28" t="str">
        <f aca="false">IF($A167="","",IF(OR($E167="",$H167="",$L167=""),"",IF(SUMPRODUCT(($A$7:$A$606&lt;&gt;"")*($E$7:$E$606=$E167)*($H$7:$H$606=$H167)*(ROW($A$7:$A$606)&lt;&gt;167)*($L$7:$L$606&lt;=$M167)*($M$7:$M$606&gt;=$L167))&gt;0,"⚠ Çakışma","OK")))</f>
        <v/>
      </c>
      <c r="R167" s="28" t="str">
        <f aca="false">IF($A167="","",IF(OR($N167&lt;&gt;"",$O167="⚠ Çakışma",$P167="⚠ Çakışma",$Q167="⚠ Çakışma"),"⚠ Kontrol Et","✓ Uygun"))</f>
        <v/>
      </c>
    </row>
    <row r="168" customFormat="false" ht="13.5" hidden="false" customHeight="true" outlineLevel="0" collapsed="false">
      <c r="A168" s="28" t="str">
        <f aca="false">IF('1-Turizm Rehberliği'!A165="","","Turizm Rehberliği")</f>
        <v/>
      </c>
      <c r="B168" s="28" t="str">
        <f aca="false">IF($A168="","",IF('1-Turizm Rehberliği'!A165="","",'1-Turizm Rehberliği'!A165))</f>
        <v/>
      </c>
      <c r="C168" s="29" t="str">
        <f aca="false">IF($A168="","",IF('1-Turizm Rehberliği'!B165="","",'1-Turizm Rehberliği'!B165))</f>
        <v/>
      </c>
      <c r="D168" s="28" t="str">
        <f aca="false">IF($A168="","",IF('1-Turizm Rehberliği'!C165="","",'1-Turizm Rehberliği'!C165))</f>
        <v/>
      </c>
      <c r="E168" s="28" t="str">
        <f aca="false">IF($A168="","",$A168&amp;"-"&amp;$D168)</f>
        <v/>
      </c>
      <c r="F168" s="28" t="str">
        <f aca="false">IF($A168="","",IF('1-Turizm Rehberliği'!D165="","",'1-Turizm Rehberliği'!D165))</f>
        <v/>
      </c>
      <c r="G168" s="28" t="str">
        <f aca="false">IF($A168="","",IF('1-Turizm Rehberliği'!E165="","",'1-Turizm Rehberliği'!E165))</f>
        <v/>
      </c>
      <c r="H168" s="28" t="str">
        <f aca="false">IF($A168="","",IF('1-Turizm Rehberliği'!F165="","",'1-Turizm Rehberliği'!F165))</f>
        <v/>
      </c>
      <c r="I168" s="28" t="str">
        <f aca="false">IF($A168="","",IF('1-Turizm Rehberliği'!G165="","",'1-Turizm Rehberliği'!G165))</f>
        <v/>
      </c>
      <c r="J168" s="28" t="str">
        <f aca="false">IF($A168="","",IF('1-Turizm Rehberliği'!H165="","",'1-Turizm Rehberliği'!H165))</f>
        <v/>
      </c>
      <c r="K168" s="28" t="str">
        <f aca="false">IF($A168="","",IF('1-Turizm Rehberliği'!I165="","",'1-Turizm Rehberliği'!I165))</f>
        <v/>
      </c>
      <c r="L168" s="28" t="str">
        <f aca="false">IF($I168="","",MATCH($I168,{"08.00";"09.00";"10.00";"11.00";"12.00";"13.00";"14.00";"15.00";"16.00";"17.00"},0))</f>
        <v/>
      </c>
      <c r="M168" s="28" t="str">
        <f aca="false">IF(OR($L168="",$J168=""),"",$L168+$J168-1)</f>
        <v/>
      </c>
      <c r="N168" s="28" t="str">
        <f aca="false">IF($A168="","",IF(OR($L168="",$M168=""),"",IF($M168&gt;10,"⚠ Saat Taşıyor","")))</f>
        <v/>
      </c>
      <c r="O168" s="28" t="str">
        <f aca="false">IF($A168="","",IF(OR($G168="",$H168="",$L168=""),"",IF(SUMPRODUCT(($A$7:$A$606&lt;&gt;"")*($G$7:$G$606=$G168)*($H$7:$H$606=$H168)*(ROW($A$7:$A$606)&lt;&gt;168)*($L$7:$L$606&lt;=$M168)*($M$7:$M$606&gt;=$L168))&gt;0,"⚠ Çakışma","OK")))</f>
        <v/>
      </c>
      <c r="P168" s="28" t="str">
        <f aca="false">IF($A168="","",IF(OR($K168="",$H168="",$L168=""),"",IF(SUMPRODUCT(($A$7:$A$606&lt;&gt;"")*($K$7:$K$606=$K168)*($H$7:$H$606=$H168)*(ROW($A$7:$A$606)&lt;&gt;168)*($L$7:$L$606&lt;=$M168)*($M$7:$M$606&gt;=$L168))&gt;0,"⚠ Çakışma","OK")))</f>
        <v/>
      </c>
      <c r="Q168" s="28" t="str">
        <f aca="false">IF($A168="","",IF(OR($E168="",$H168="",$L168=""),"",IF(SUMPRODUCT(($A$7:$A$606&lt;&gt;"")*($E$7:$E$606=$E168)*($H$7:$H$606=$H168)*(ROW($A$7:$A$606)&lt;&gt;168)*($L$7:$L$606&lt;=$M168)*($M$7:$M$606&gt;=$L168))&gt;0,"⚠ Çakışma","OK")))</f>
        <v/>
      </c>
      <c r="R168" s="28" t="str">
        <f aca="false">IF($A168="","",IF(OR($N168&lt;&gt;"",$O168="⚠ Çakışma",$P168="⚠ Çakışma",$Q168="⚠ Çakışma"),"⚠ Kontrol Et","✓ Uygun"))</f>
        <v/>
      </c>
    </row>
    <row r="169" customFormat="false" ht="13.5" hidden="false" customHeight="true" outlineLevel="0" collapsed="false">
      <c r="A169" s="28" t="str">
        <f aca="false">IF('1-Turizm Rehberliği'!A166="","","Turizm Rehberliği")</f>
        <v/>
      </c>
      <c r="B169" s="28" t="str">
        <f aca="false">IF($A169="","",IF('1-Turizm Rehberliği'!A166="","",'1-Turizm Rehberliği'!A166))</f>
        <v/>
      </c>
      <c r="C169" s="29" t="str">
        <f aca="false">IF($A169="","",IF('1-Turizm Rehberliği'!B166="","",'1-Turizm Rehberliği'!B166))</f>
        <v/>
      </c>
      <c r="D169" s="28" t="str">
        <f aca="false">IF($A169="","",IF('1-Turizm Rehberliği'!C166="","",'1-Turizm Rehberliği'!C166))</f>
        <v/>
      </c>
      <c r="E169" s="28" t="str">
        <f aca="false">IF($A169="","",$A169&amp;"-"&amp;$D169)</f>
        <v/>
      </c>
      <c r="F169" s="28" t="str">
        <f aca="false">IF($A169="","",IF('1-Turizm Rehberliği'!D166="","",'1-Turizm Rehberliği'!D166))</f>
        <v/>
      </c>
      <c r="G169" s="28" t="str">
        <f aca="false">IF($A169="","",IF('1-Turizm Rehberliği'!E166="","",'1-Turizm Rehberliği'!E166))</f>
        <v/>
      </c>
      <c r="H169" s="28" t="str">
        <f aca="false">IF($A169="","",IF('1-Turizm Rehberliği'!F166="","",'1-Turizm Rehberliği'!F166))</f>
        <v/>
      </c>
      <c r="I169" s="28" t="str">
        <f aca="false">IF($A169="","",IF('1-Turizm Rehberliği'!G166="","",'1-Turizm Rehberliği'!G166))</f>
        <v/>
      </c>
      <c r="J169" s="28" t="str">
        <f aca="false">IF($A169="","",IF('1-Turizm Rehberliği'!H166="","",'1-Turizm Rehberliği'!H166))</f>
        <v/>
      </c>
      <c r="K169" s="28" t="str">
        <f aca="false">IF($A169="","",IF('1-Turizm Rehberliği'!I166="","",'1-Turizm Rehberliği'!I166))</f>
        <v/>
      </c>
      <c r="L169" s="28" t="str">
        <f aca="false">IF($I169="","",MATCH($I169,{"08.00";"09.00";"10.00";"11.00";"12.00";"13.00";"14.00";"15.00";"16.00";"17.00"},0))</f>
        <v/>
      </c>
      <c r="M169" s="28" t="str">
        <f aca="false">IF(OR($L169="",$J169=""),"",$L169+$J169-1)</f>
        <v/>
      </c>
      <c r="N169" s="28" t="str">
        <f aca="false">IF($A169="","",IF(OR($L169="",$M169=""),"",IF($M169&gt;10,"⚠ Saat Taşıyor","")))</f>
        <v/>
      </c>
      <c r="O169" s="28" t="str">
        <f aca="false">IF($A169="","",IF(OR($G169="",$H169="",$L169=""),"",IF(SUMPRODUCT(($A$7:$A$606&lt;&gt;"")*($G$7:$G$606=$G169)*($H$7:$H$606=$H169)*(ROW($A$7:$A$606)&lt;&gt;169)*($L$7:$L$606&lt;=$M169)*($M$7:$M$606&gt;=$L169))&gt;0,"⚠ Çakışma","OK")))</f>
        <v/>
      </c>
      <c r="P169" s="28" t="str">
        <f aca="false">IF($A169="","",IF(OR($K169="",$H169="",$L169=""),"",IF(SUMPRODUCT(($A$7:$A$606&lt;&gt;"")*($K$7:$K$606=$K169)*($H$7:$H$606=$H169)*(ROW($A$7:$A$606)&lt;&gt;169)*($L$7:$L$606&lt;=$M169)*($M$7:$M$606&gt;=$L169))&gt;0,"⚠ Çakışma","OK")))</f>
        <v/>
      </c>
      <c r="Q169" s="28" t="str">
        <f aca="false">IF($A169="","",IF(OR($E169="",$H169="",$L169=""),"",IF(SUMPRODUCT(($A$7:$A$606&lt;&gt;"")*($E$7:$E$606=$E169)*($H$7:$H$606=$H169)*(ROW($A$7:$A$606)&lt;&gt;169)*($L$7:$L$606&lt;=$M169)*($M$7:$M$606&gt;=$L169))&gt;0,"⚠ Çakışma","OK")))</f>
        <v/>
      </c>
      <c r="R169" s="28" t="str">
        <f aca="false">IF($A169="","",IF(OR($N169&lt;&gt;"",$O169="⚠ Çakışma",$P169="⚠ Çakışma",$Q169="⚠ Çakışma"),"⚠ Kontrol Et","✓ Uygun"))</f>
        <v/>
      </c>
    </row>
    <row r="170" customFormat="false" ht="13.5" hidden="false" customHeight="true" outlineLevel="0" collapsed="false">
      <c r="A170" s="28" t="str">
        <f aca="false">IF('1-Turizm Rehberliği'!A167="","","Turizm Rehberliği")</f>
        <v/>
      </c>
      <c r="B170" s="28" t="str">
        <f aca="false">IF($A170="","",IF('1-Turizm Rehberliği'!A167="","",'1-Turizm Rehberliği'!A167))</f>
        <v/>
      </c>
      <c r="C170" s="29" t="str">
        <f aca="false">IF($A170="","",IF('1-Turizm Rehberliği'!B167="","",'1-Turizm Rehberliği'!B167))</f>
        <v/>
      </c>
      <c r="D170" s="28" t="str">
        <f aca="false">IF($A170="","",IF('1-Turizm Rehberliği'!C167="","",'1-Turizm Rehberliği'!C167))</f>
        <v/>
      </c>
      <c r="E170" s="28" t="str">
        <f aca="false">IF($A170="","",$A170&amp;"-"&amp;$D170)</f>
        <v/>
      </c>
      <c r="F170" s="28" t="str">
        <f aca="false">IF($A170="","",IF('1-Turizm Rehberliği'!D167="","",'1-Turizm Rehberliği'!D167))</f>
        <v/>
      </c>
      <c r="G170" s="28" t="str">
        <f aca="false">IF($A170="","",IF('1-Turizm Rehberliği'!E167="","",'1-Turizm Rehberliği'!E167))</f>
        <v/>
      </c>
      <c r="H170" s="28" t="str">
        <f aca="false">IF($A170="","",IF('1-Turizm Rehberliği'!F167="","",'1-Turizm Rehberliği'!F167))</f>
        <v/>
      </c>
      <c r="I170" s="28" t="str">
        <f aca="false">IF($A170="","",IF('1-Turizm Rehberliği'!G167="","",'1-Turizm Rehberliği'!G167))</f>
        <v/>
      </c>
      <c r="J170" s="28" t="str">
        <f aca="false">IF($A170="","",IF('1-Turizm Rehberliği'!H167="","",'1-Turizm Rehberliği'!H167))</f>
        <v/>
      </c>
      <c r="K170" s="28" t="str">
        <f aca="false">IF($A170="","",IF('1-Turizm Rehberliği'!I167="","",'1-Turizm Rehberliği'!I167))</f>
        <v/>
      </c>
      <c r="L170" s="28" t="str">
        <f aca="false">IF($I170="","",MATCH($I170,{"08.00";"09.00";"10.00";"11.00";"12.00";"13.00";"14.00";"15.00";"16.00";"17.00"},0))</f>
        <v/>
      </c>
      <c r="M170" s="28" t="str">
        <f aca="false">IF(OR($L170="",$J170=""),"",$L170+$J170-1)</f>
        <v/>
      </c>
      <c r="N170" s="28" t="str">
        <f aca="false">IF($A170="","",IF(OR($L170="",$M170=""),"",IF($M170&gt;10,"⚠ Saat Taşıyor","")))</f>
        <v/>
      </c>
      <c r="O170" s="28" t="str">
        <f aca="false">IF($A170="","",IF(OR($G170="",$H170="",$L170=""),"",IF(SUMPRODUCT(($A$7:$A$606&lt;&gt;"")*($G$7:$G$606=$G170)*($H$7:$H$606=$H170)*(ROW($A$7:$A$606)&lt;&gt;170)*($L$7:$L$606&lt;=$M170)*($M$7:$M$606&gt;=$L170))&gt;0,"⚠ Çakışma","OK")))</f>
        <v/>
      </c>
      <c r="P170" s="28" t="str">
        <f aca="false">IF($A170="","",IF(OR($K170="",$H170="",$L170=""),"",IF(SUMPRODUCT(($A$7:$A$606&lt;&gt;"")*($K$7:$K$606=$K170)*($H$7:$H$606=$H170)*(ROW($A$7:$A$606)&lt;&gt;170)*($L$7:$L$606&lt;=$M170)*($M$7:$M$606&gt;=$L170))&gt;0,"⚠ Çakışma","OK")))</f>
        <v/>
      </c>
      <c r="Q170" s="28" t="str">
        <f aca="false">IF($A170="","",IF(OR($E170="",$H170="",$L170=""),"",IF(SUMPRODUCT(($A$7:$A$606&lt;&gt;"")*($E$7:$E$606=$E170)*($H$7:$H$606=$H170)*(ROW($A$7:$A$606)&lt;&gt;170)*($L$7:$L$606&lt;=$M170)*($M$7:$M$606&gt;=$L170))&gt;0,"⚠ Çakışma","OK")))</f>
        <v/>
      </c>
      <c r="R170" s="28" t="str">
        <f aca="false">IF($A170="","",IF(OR($N170&lt;&gt;"",$O170="⚠ Çakışma",$P170="⚠ Çakışma",$Q170="⚠ Çakışma"),"⚠ Kontrol Et","✓ Uygun"))</f>
        <v/>
      </c>
    </row>
    <row r="171" customFormat="false" ht="13.5" hidden="false" customHeight="true" outlineLevel="0" collapsed="false">
      <c r="A171" s="28" t="str">
        <f aca="false">IF('1-Turizm Rehberliği'!A168="","","Turizm Rehberliği")</f>
        <v/>
      </c>
      <c r="B171" s="28" t="str">
        <f aca="false">IF($A171="","",IF('1-Turizm Rehberliği'!A168="","",'1-Turizm Rehberliği'!A168))</f>
        <v/>
      </c>
      <c r="C171" s="29" t="str">
        <f aca="false">IF($A171="","",IF('1-Turizm Rehberliği'!B168="","",'1-Turizm Rehberliği'!B168))</f>
        <v/>
      </c>
      <c r="D171" s="28" t="str">
        <f aca="false">IF($A171="","",IF('1-Turizm Rehberliği'!C168="","",'1-Turizm Rehberliği'!C168))</f>
        <v/>
      </c>
      <c r="E171" s="28" t="str">
        <f aca="false">IF($A171="","",$A171&amp;"-"&amp;$D171)</f>
        <v/>
      </c>
      <c r="F171" s="28" t="str">
        <f aca="false">IF($A171="","",IF('1-Turizm Rehberliği'!D168="","",'1-Turizm Rehberliği'!D168))</f>
        <v/>
      </c>
      <c r="G171" s="28" t="str">
        <f aca="false">IF($A171="","",IF('1-Turizm Rehberliği'!E168="","",'1-Turizm Rehberliği'!E168))</f>
        <v/>
      </c>
      <c r="H171" s="28" t="str">
        <f aca="false">IF($A171="","",IF('1-Turizm Rehberliği'!F168="","",'1-Turizm Rehberliği'!F168))</f>
        <v/>
      </c>
      <c r="I171" s="28" t="str">
        <f aca="false">IF($A171="","",IF('1-Turizm Rehberliği'!G168="","",'1-Turizm Rehberliği'!G168))</f>
        <v/>
      </c>
      <c r="J171" s="28" t="str">
        <f aca="false">IF($A171="","",IF('1-Turizm Rehberliği'!H168="","",'1-Turizm Rehberliği'!H168))</f>
        <v/>
      </c>
      <c r="K171" s="28" t="str">
        <f aca="false">IF($A171="","",IF('1-Turizm Rehberliği'!I168="","",'1-Turizm Rehberliği'!I168))</f>
        <v/>
      </c>
      <c r="L171" s="28" t="str">
        <f aca="false">IF($I171="","",MATCH($I171,{"08.00";"09.00";"10.00";"11.00";"12.00";"13.00";"14.00";"15.00";"16.00";"17.00"},0))</f>
        <v/>
      </c>
      <c r="M171" s="28" t="str">
        <f aca="false">IF(OR($L171="",$J171=""),"",$L171+$J171-1)</f>
        <v/>
      </c>
      <c r="N171" s="28" t="str">
        <f aca="false">IF($A171="","",IF(OR($L171="",$M171=""),"",IF($M171&gt;10,"⚠ Saat Taşıyor","")))</f>
        <v/>
      </c>
      <c r="O171" s="28" t="str">
        <f aca="false">IF($A171="","",IF(OR($G171="",$H171="",$L171=""),"",IF(SUMPRODUCT(($A$7:$A$606&lt;&gt;"")*($G$7:$G$606=$G171)*($H$7:$H$606=$H171)*(ROW($A$7:$A$606)&lt;&gt;171)*($L$7:$L$606&lt;=$M171)*($M$7:$M$606&gt;=$L171))&gt;0,"⚠ Çakışma","OK")))</f>
        <v/>
      </c>
      <c r="P171" s="28" t="str">
        <f aca="false">IF($A171="","",IF(OR($K171="",$H171="",$L171=""),"",IF(SUMPRODUCT(($A$7:$A$606&lt;&gt;"")*($K$7:$K$606=$K171)*($H$7:$H$606=$H171)*(ROW($A$7:$A$606)&lt;&gt;171)*($L$7:$L$606&lt;=$M171)*($M$7:$M$606&gt;=$L171))&gt;0,"⚠ Çakışma","OK")))</f>
        <v/>
      </c>
      <c r="Q171" s="28" t="str">
        <f aca="false">IF($A171="","",IF(OR($E171="",$H171="",$L171=""),"",IF(SUMPRODUCT(($A$7:$A$606&lt;&gt;"")*($E$7:$E$606=$E171)*($H$7:$H$606=$H171)*(ROW($A$7:$A$606)&lt;&gt;171)*($L$7:$L$606&lt;=$M171)*($M$7:$M$606&gt;=$L171))&gt;0,"⚠ Çakışma","OK")))</f>
        <v/>
      </c>
      <c r="R171" s="28" t="str">
        <f aca="false">IF($A171="","",IF(OR($N171&lt;&gt;"",$O171="⚠ Çakışma",$P171="⚠ Çakışma",$Q171="⚠ Çakışma"),"⚠ Kontrol Et","✓ Uygun"))</f>
        <v/>
      </c>
    </row>
    <row r="172" customFormat="false" ht="13.5" hidden="false" customHeight="true" outlineLevel="0" collapsed="false">
      <c r="A172" s="28" t="str">
        <f aca="false">IF('1-Turizm Rehberliği'!A169="","","Turizm Rehberliği")</f>
        <v/>
      </c>
      <c r="B172" s="28" t="str">
        <f aca="false">IF($A172="","",IF('1-Turizm Rehberliği'!A169="","",'1-Turizm Rehberliği'!A169))</f>
        <v/>
      </c>
      <c r="C172" s="29" t="str">
        <f aca="false">IF($A172="","",IF('1-Turizm Rehberliği'!B169="","",'1-Turizm Rehberliği'!B169))</f>
        <v/>
      </c>
      <c r="D172" s="28" t="str">
        <f aca="false">IF($A172="","",IF('1-Turizm Rehberliği'!C169="","",'1-Turizm Rehberliği'!C169))</f>
        <v/>
      </c>
      <c r="E172" s="28" t="str">
        <f aca="false">IF($A172="","",$A172&amp;"-"&amp;$D172)</f>
        <v/>
      </c>
      <c r="F172" s="28" t="str">
        <f aca="false">IF($A172="","",IF('1-Turizm Rehberliği'!D169="","",'1-Turizm Rehberliği'!D169))</f>
        <v/>
      </c>
      <c r="G172" s="28" t="str">
        <f aca="false">IF($A172="","",IF('1-Turizm Rehberliği'!E169="","",'1-Turizm Rehberliği'!E169))</f>
        <v/>
      </c>
      <c r="H172" s="28" t="str">
        <f aca="false">IF($A172="","",IF('1-Turizm Rehberliği'!F169="","",'1-Turizm Rehberliği'!F169))</f>
        <v/>
      </c>
      <c r="I172" s="28" t="str">
        <f aca="false">IF($A172="","",IF('1-Turizm Rehberliği'!G169="","",'1-Turizm Rehberliği'!G169))</f>
        <v/>
      </c>
      <c r="J172" s="28" t="str">
        <f aca="false">IF($A172="","",IF('1-Turizm Rehberliği'!H169="","",'1-Turizm Rehberliği'!H169))</f>
        <v/>
      </c>
      <c r="K172" s="28" t="str">
        <f aca="false">IF($A172="","",IF('1-Turizm Rehberliği'!I169="","",'1-Turizm Rehberliği'!I169))</f>
        <v/>
      </c>
      <c r="L172" s="28" t="str">
        <f aca="false">IF($I172="","",MATCH($I172,{"08.00";"09.00";"10.00";"11.00";"12.00";"13.00";"14.00";"15.00";"16.00";"17.00"},0))</f>
        <v/>
      </c>
      <c r="M172" s="28" t="str">
        <f aca="false">IF(OR($L172="",$J172=""),"",$L172+$J172-1)</f>
        <v/>
      </c>
      <c r="N172" s="28" t="str">
        <f aca="false">IF($A172="","",IF(OR($L172="",$M172=""),"",IF($M172&gt;10,"⚠ Saat Taşıyor","")))</f>
        <v/>
      </c>
      <c r="O172" s="28" t="str">
        <f aca="false">IF($A172="","",IF(OR($G172="",$H172="",$L172=""),"",IF(SUMPRODUCT(($A$7:$A$606&lt;&gt;"")*($G$7:$G$606=$G172)*($H$7:$H$606=$H172)*(ROW($A$7:$A$606)&lt;&gt;172)*($L$7:$L$606&lt;=$M172)*($M$7:$M$606&gt;=$L172))&gt;0,"⚠ Çakışma","OK")))</f>
        <v/>
      </c>
      <c r="P172" s="28" t="str">
        <f aca="false">IF($A172="","",IF(OR($K172="",$H172="",$L172=""),"",IF(SUMPRODUCT(($A$7:$A$606&lt;&gt;"")*($K$7:$K$606=$K172)*($H$7:$H$606=$H172)*(ROW($A$7:$A$606)&lt;&gt;172)*($L$7:$L$606&lt;=$M172)*($M$7:$M$606&gt;=$L172))&gt;0,"⚠ Çakışma","OK")))</f>
        <v/>
      </c>
      <c r="Q172" s="28" t="str">
        <f aca="false">IF($A172="","",IF(OR($E172="",$H172="",$L172=""),"",IF(SUMPRODUCT(($A$7:$A$606&lt;&gt;"")*($E$7:$E$606=$E172)*($H$7:$H$606=$H172)*(ROW($A$7:$A$606)&lt;&gt;172)*($L$7:$L$606&lt;=$M172)*($M$7:$M$606&gt;=$L172))&gt;0,"⚠ Çakışma","OK")))</f>
        <v/>
      </c>
      <c r="R172" s="28" t="str">
        <f aca="false">IF($A172="","",IF(OR($N172&lt;&gt;"",$O172="⚠ Çakışma",$P172="⚠ Çakışma",$Q172="⚠ Çakışma"),"⚠ Kontrol Et","✓ Uygun"))</f>
        <v/>
      </c>
    </row>
    <row r="173" customFormat="false" ht="13.5" hidden="false" customHeight="true" outlineLevel="0" collapsed="false">
      <c r="A173" s="28" t="str">
        <f aca="false">IF('1-Turizm Rehberliği'!A170="","","Turizm Rehberliği")</f>
        <v/>
      </c>
      <c r="B173" s="28" t="str">
        <f aca="false">IF($A173="","",IF('1-Turizm Rehberliği'!A170="","",'1-Turizm Rehberliği'!A170))</f>
        <v/>
      </c>
      <c r="C173" s="29" t="str">
        <f aca="false">IF($A173="","",IF('1-Turizm Rehberliği'!B170="","",'1-Turizm Rehberliği'!B170))</f>
        <v/>
      </c>
      <c r="D173" s="28" t="str">
        <f aca="false">IF($A173="","",IF('1-Turizm Rehberliği'!C170="","",'1-Turizm Rehberliği'!C170))</f>
        <v/>
      </c>
      <c r="E173" s="28" t="str">
        <f aca="false">IF($A173="","",$A173&amp;"-"&amp;$D173)</f>
        <v/>
      </c>
      <c r="F173" s="28" t="str">
        <f aca="false">IF($A173="","",IF('1-Turizm Rehberliği'!D170="","",'1-Turizm Rehberliği'!D170))</f>
        <v/>
      </c>
      <c r="G173" s="28" t="str">
        <f aca="false">IF($A173="","",IF('1-Turizm Rehberliği'!E170="","",'1-Turizm Rehberliği'!E170))</f>
        <v/>
      </c>
      <c r="H173" s="28" t="str">
        <f aca="false">IF($A173="","",IF('1-Turizm Rehberliği'!F170="","",'1-Turizm Rehberliği'!F170))</f>
        <v/>
      </c>
      <c r="I173" s="28" t="str">
        <f aca="false">IF($A173="","",IF('1-Turizm Rehberliği'!G170="","",'1-Turizm Rehberliği'!G170))</f>
        <v/>
      </c>
      <c r="J173" s="28" t="str">
        <f aca="false">IF($A173="","",IF('1-Turizm Rehberliği'!H170="","",'1-Turizm Rehberliği'!H170))</f>
        <v/>
      </c>
      <c r="K173" s="28" t="str">
        <f aca="false">IF($A173="","",IF('1-Turizm Rehberliği'!I170="","",'1-Turizm Rehberliği'!I170))</f>
        <v/>
      </c>
      <c r="L173" s="28" t="str">
        <f aca="false">IF($I173="","",MATCH($I173,{"08.00";"09.00";"10.00";"11.00";"12.00";"13.00";"14.00";"15.00";"16.00";"17.00"},0))</f>
        <v/>
      </c>
      <c r="M173" s="28" t="str">
        <f aca="false">IF(OR($L173="",$J173=""),"",$L173+$J173-1)</f>
        <v/>
      </c>
      <c r="N173" s="28" t="str">
        <f aca="false">IF($A173="","",IF(OR($L173="",$M173=""),"",IF($M173&gt;10,"⚠ Saat Taşıyor","")))</f>
        <v/>
      </c>
      <c r="O173" s="28" t="str">
        <f aca="false">IF($A173="","",IF(OR($G173="",$H173="",$L173=""),"",IF(SUMPRODUCT(($A$7:$A$606&lt;&gt;"")*($G$7:$G$606=$G173)*($H$7:$H$606=$H173)*(ROW($A$7:$A$606)&lt;&gt;173)*($L$7:$L$606&lt;=$M173)*($M$7:$M$606&gt;=$L173))&gt;0,"⚠ Çakışma","OK")))</f>
        <v/>
      </c>
      <c r="P173" s="28" t="str">
        <f aca="false">IF($A173="","",IF(OR($K173="",$H173="",$L173=""),"",IF(SUMPRODUCT(($A$7:$A$606&lt;&gt;"")*($K$7:$K$606=$K173)*($H$7:$H$606=$H173)*(ROW($A$7:$A$606)&lt;&gt;173)*($L$7:$L$606&lt;=$M173)*($M$7:$M$606&gt;=$L173))&gt;0,"⚠ Çakışma","OK")))</f>
        <v/>
      </c>
      <c r="Q173" s="28" t="str">
        <f aca="false">IF($A173="","",IF(OR($E173="",$H173="",$L173=""),"",IF(SUMPRODUCT(($A$7:$A$606&lt;&gt;"")*($E$7:$E$606=$E173)*($H$7:$H$606=$H173)*(ROW($A$7:$A$606)&lt;&gt;173)*($L$7:$L$606&lt;=$M173)*($M$7:$M$606&gt;=$L173))&gt;0,"⚠ Çakışma","OK")))</f>
        <v/>
      </c>
      <c r="R173" s="28" t="str">
        <f aca="false">IF($A173="","",IF(OR($N173&lt;&gt;"",$O173="⚠ Çakışma",$P173="⚠ Çakışma",$Q173="⚠ Çakışma"),"⚠ Kontrol Et","✓ Uygun"))</f>
        <v/>
      </c>
    </row>
    <row r="174" customFormat="false" ht="13.5" hidden="false" customHeight="true" outlineLevel="0" collapsed="false">
      <c r="A174" s="28" t="str">
        <f aca="false">IF('1-Turizm Rehberliği'!A171="","","Turizm Rehberliği")</f>
        <v/>
      </c>
      <c r="B174" s="28" t="str">
        <f aca="false">IF($A174="","",IF('1-Turizm Rehberliği'!A171="","",'1-Turizm Rehberliği'!A171))</f>
        <v/>
      </c>
      <c r="C174" s="29" t="str">
        <f aca="false">IF($A174="","",IF('1-Turizm Rehberliği'!B171="","",'1-Turizm Rehberliği'!B171))</f>
        <v/>
      </c>
      <c r="D174" s="28" t="str">
        <f aca="false">IF($A174="","",IF('1-Turizm Rehberliği'!C171="","",'1-Turizm Rehberliği'!C171))</f>
        <v/>
      </c>
      <c r="E174" s="28" t="str">
        <f aca="false">IF($A174="","",$A174&amp;"-"&amp;$D174)</f>
        <v/>
      </c>
      <c r="F174" s="28" t="str">
        <f aca="false">IF($A174="","",IF('1-Turizm Rehberliği'!D171="","",'1-Turizm Rehberliği'!D171))</f>
        <v/>
      </c>
      <c r="G174" s="28" t="str">
        <f aca="false">IF($A174="","",IF('1-Turizm Rehberliği'!E171="","",'1-Turizm Rehberliği'!E171))</f>
        <v/>
      </c>
      <c r="H174" s="28" t="str">
        <f aca="false">IF($A174="","",IF('1-Turizm Rehberliği'!F171="","",'1-Turizm Rehberliği'!F171))</f>
        <v/>
      </c>
      <c r="I174" s="28" t="str">
        <f aca="false">IF($A174="","",IF('1-Turizm Rehberliği'!G171="","",'1-Turizm Rehberliği'!G171))</f>
        <v/>
      </c>
      <c r="J174" s="28" t="str">
        <f aca="false">IF($A174="","",IF('1-Turizm Rehberliği'!H171="","",'1-Turizm Rehberliği'!H171))</f>
        <v/>
      </c>
      <c r="K174" s="28" t="str">
        <f aca="false">IF($A174="","",IF('1-Turizm Rehberliği'!I171="","",'1-Turizm Rehberliği'!I171))</f>
        <v/>
      </c>
      <c r="L174" s="28" t="str">
        <f aca="false">IF($I174="","",MATCH($I174,{"08.00";"09.00";"10.00";"11.00";"12.00";"13.00";"14.00";"15.00";"16.00";"17.00"},0))</f>
        <v/>
      </c>
      <c r="M174" s="28" t="str">
        <f aca="false">IF(OR($L174="",$J174=""),"",$L174+$J174-1)</f>
        <v/>
      </c>
      <c r="N174" s="28" t="str">
        <f aca="false">IF($A174="","",IF(OR($L174="",$M174=""),"",IF($M174&gt;10,"⚠ Saat Taşıyor","")))</f>
        <v/>
      </c>
      <c r="O174" s="28" t="str">
        <f aca="false">IF($A174="","",IF(OR($G174="",$H174="",$L174=""),"",IF(SUMPRODUCT(($A$7:$A$606&lt;&gt;"")*($G$7:$G$606=$G174)*($H$7:$H$606=$H174)*(ROW($A$7:$A$606)&lt;&gt;174)*($L$7:$L$606&lt;=$M174)*($M$7:$M$606&gt;=$L174))&gt;0,"⚠ Çakışma","OK")))</f>
        <v/>
      </c>
      <c r="P174" s="28" t="str">
        <f aca="false">IF($A174="","",IF(OR($K174="",$H174="",$L174=""),"",IF(SUMPRODUCT(($A$7:$A$606&lt;&gt;"")*($K$7:$K$606=$K174)*($H$7:$H$606=$H174)*(ROW($A$7:$A$606)&lt;&gt;174)*($L$7:$L$606&lt;=$M174)*($M$7:$M$606&gt;=$L174))&gt;0,"⚠ Çakışma","OK")))</f>
        <v/>
      </c>
      <c r="Q174" s="28" t="str">
        <f aca="false">IF($A174="","",IF(OR($E174="",$H174="",$L174=""),"",IF(SUMPRODUCT(($A$7:$A$606&lt;&gt;"")*($E$7:$E$606=$E174)*($H$7:$H$606=$H174)*(ROW($A$7:$A$606)&lt;&gt;174)*($L$7:$L$606&lt;=$M174)*($M$7:$M$606&gt;=$L174))&gt;0,"⚠ Çakışma","OK")))</f>
        <v/>
      </c>
      <c r="R174" s="28" t="str">
        <f aca="false">IF($A174="","",IF(OR($N174&lt;&gt;"",$O174="⚠ Çakışma",$P174="⚠ Çakışma",$Q174="⚠ Çakışma"),"⚠ Kontrol Et","✓ Uygun"))</f>
        <v/>
      </c>
    </row>
    <row r="175" customFormat="false" ht="13.5" hidden="false" customHeight="true" outlineLevel="0" collapsed="false">
      <c r="A175" s="28" t="str">
        <f aca="false">IF('1-Turizm Rehberliği'!A172="","","Turizm Rehberliği")</f>
        <v/>
      </c>
      <c r="B175" s="28" t="str">
        <f aca="false">IF($A175="","",IF('1-Turizm Rehberliği'!A172="","",'1-Turizm Rehberliği'!A172))</f>
        <v/>
      </c>
      <c r="C175" s="29" t="str">
        <f aca="false">IF($A175="","",IF('1-Turizm Rehberliği'!B172="","",'1-Turizm Rehberliği'!B172))</f>
        <v/>
      </c>
      <c r="D175" s="28" t="str">
        <f aca="false">IF($A175="","",IF('1-Turizm Rehberliği'!C172="","",'1-Turizm Rehberliği'!C172))</f>
        <v/>
      </c>
      <c r="E175" s="28" t="str">
        <f aca="false">IF($A175="","",$A175&amp;"-"&amp;$D175)</f>
        <v/>
      </c>
      <c r="F175" s="28" t="str">
        <f aca="false">IF($A175="","",IF('1-Turizm Rehberliği'!D172="","",'1-Turizm Rehberliği'!D172))</f>
        <v/>
      </c>
      <c r="G175" s="28" t="str">
        <f aca="false">IF($A175="","",IF('1-Turizm Rehberliği'!E172="","",'1-Turizm Rehberliği'!E172))</f>
        <v/>
      </c>
      <c r="H175" s="28" t="str">
        <f aca="false">IF($A175="","",IF('1-Turizm Rehberliği'!F172="","",'1-Turizm Rehberliği'!F172))</f>
        <v/>
      </c>
      <c r="I175" s="28" t="str">
        <f aca="false">IF($A175="","",IF('1-Turizm Rehberliği'!G172="","",'1-Turizm Rehberliği'!G172))</f>
        <v/>
      </c>
      <c r="J175" s="28" t="str">
        <f aca="false">IF($A175="","",IF('1-Turizm Rehberliği'!H172="","",'1-Turizm Rehberliği'!H172))</f>
        <v/>
      </c>
      <c r="K175" s="28" t="str">
        <f aca="false">IF($A175="","",IF('1-Turizm Rehberliği'!I172="","",'1-Turizm Rehberliği'!I172))</f>
        <v/>
      </c>
      <c r="L175" s="28" t="str">
        <f aca="false">IF($I175="","",MATCH($I175,{"08.00";"09.00";"10.00";"11.00";"12.00";"13.00";"14.00";"15.00";"16.00";"17.00"},0))</f>
        <v/>
      </c>
      <c r="M175" s="28" t="str">
        <f aca="false">IF(OR($L175="",$J175=""),"",$L175+$J175-1)</f>
        <v/>
      </c>
      <c r="N175" s="28" t="str">
        <f aca="false">IF($A175="","",IF(OR($L175="",$M175=""),"",IF($M175&gt;10,"⚠ Saat Taşıyor","")))</f>
        <v/>
      </c>
      <c r="O175" s="28" t="str">
        <f aca="false">IF($A175="","",IF(OR($G175="",$H175="",$L175=""),"",IF(SUMPRODUCT(($A$7:$A$606&lt;&gt;"")*($G$7:$G$606=$G175)*($H$7:$H$606=$H175)*(ROW($A$7:$A$606)&lt;&gt;175)*($L$7:$L$606&lt;=$M175)*($M$7:$M$606&gt;=$L175))&gt;0,"⚠ Çakışma","OK")))</f>
        <v/>
      </c>
      <c r="P175" s="28" t="str">
        <f aca="false">IF($A175="","",IF(OR($K175="",$H175="",$L175=""),"",IF(SUMPRODUCT(($A$7:$A$606&lt;&gt;"")*($K$7:$K$606=$K175)*($H$7:$H$606=$H175)*(ROW($A$7:$A$606)&lt;&gt;175)*($L$7:$L$606&lt;=$M175)*($M$7:$M$606&gt;=$L175))&gt;0,"⚠ Çakışma","OK")))</f>
        <v/>
      </c>
      <c r="Q175" s="28" t="str">
        <f aca="false">IF($A175="","",IF(OR($E175="",$H175="",$L175=""),"",IF(SUMPRODUCT(($A$7:$A$606&lt;&gt;"")*($E$7:$E$606=$E175)*($H$7:$H$606=$H175)*(ROW($A$7:$A$606)&lt;&gt;175)*($L$7:$L$606&lt;=$M175)*($M$7:$M$606&gt;=$L175))&gt;0,"⚠ Çakışma","OK")))</f>
        <v/>
      </c>
      <c r="R175" s="28" t="str">
        <f aca="false">IF($A175="","",IF(OR($N175&lt;&gt;"",$O175="⚠ Çakışma",$P175="⚠ Çakışma",$Q175="⚠ Çakışma"),"⚠ Kontrol Et","✓ Uygun"))</f>
        <v/>
      </c>
    </row>
    <row r="176" customFormat="false" ht="13.5" hidden="false" customHeight="true" outlineLevel="0" collapsed="false">
      <c r="A176" s="28" t="str">
        <f aca="false">IF('1-Turizm Rehberliği'!A173="","","Turizm Rehberliği")</f>
        <v/>
      </c>
      <c r="B176" s="28" t="str">
        <f aca="false">IF($A176="","",IF('1-Turizm Rehberliği'!A173="","",'1-Turizm Rehberliği'!A173))</f>
        <v/>
      </c>
      <c r="C176" s="29" t="str">
        <f aca="false">IF($A176="","",IF('1-Turizm Rehberliği'!B173="","",'1-Turizm Rehberliği'!B173))</f>
        <v/>
      </c>
      <c r="D176" s="28" t="str">
        <f aca="false">IF($A176="","",IF('1-Turizm Rehberliği'!C173="","",'1-Turizm Rehberliği'!C173))</f>
        <v/>
      </c>
      <c r="E176" s="28" t="str">
        <f aca="false">IF($A176="","",$A176&amp;"-"&amp;$D176)</f>
        <v/>
      </c>
      <c r="F176" s="28" t="str">
        <f aca="false">IF($A176="","",IF('1-Turizm Rehberliği'!D173="","",'1-Turizm Rehberliği'!D173))</f>
        <v/>
      </c>
      <c r="G176" s="28" t="str">
        <f aca="false">IF($A176="","",IF('1-Turizm Rehberliği'!E173="","",'1-Turizm Rehberliği'!E173))</f>
        <v/>
      </c>
      <c r="H176" s="28" t="str">
        <f aca="false">IF($A176="","",IF('1-Turizm Rehberliği'!F173="","",'1-Turizm Rehberliği'!F173))</f>
        <v/>
      </c>
      <c r="I176" s="28" t="str">
        <f aca="false">IF($A176="","",IF('1-Turizm Rehberliği'!G173="","",'1-Turizm Rehberliği'!G173))</f>
        <v/>
      </c>
      <c r="J176" s="28" t="str">
        <f aca="false">IF($A176="","",IF('1-Turizm Rehberliği'!H173="","",'1-Turizm Rehberliği'!H173))</f>
        <v/>
      </c>
      <c r="K176" s="28" t="str">
        <f aca="false">IF($A176="","",IF('1-Turizm Rehberliği'!I173="","",'1-Turizm Rehberliği'!I173))</f>
        <v/>
      </c>
      <c r="L176" s="28" t="str">
        <f aca="false">IF($I176="","",MATCH($I176,{"08.00";"09.00";"10.00";"11.00";"12.00";"13.00";"14.00";"15.00";"16.00";"17.00"},0))</f>
        <v/>
      </c>
      <c r="M176" s="28" t="str">
        <f aca="false">IF(OR($L176="",$J176=""),"",$L176+$J176-1)</f>
        <v/>
      </c>
      <c r="N176" s="28" t="str">
        <f aca="false">IF($A176="","",IF(OR($L176="",$M176=""),"",IF($M176&gt;10,"⚠ Saat Taşıyor","")))</f>
        <v/>
      </c>
      <c r="O176" s="28" t="str">
        <f aca="false">IF($A176="","",IF(OR($G176="",$H176="",$L176=""),"",IF(SUMPRODUCT(($A$7:$A$606&lt;&gt;"")*($G$7:$G$606=$G176)*($H$7:$H$606=$H176)*(ROW($A$7:$A$606)&lt;&gt;176)*($L$7:$L$606&lt;=$M176)*($M$7:$M$606&gt;=$L176))&gt;0,"⚠ Çakışma","OK")))</f>
        <v/>
      </c>
      <c r="P176" s="28" t="str">
        <f aca="false">IF($A176="","",IF(OR($K176="",$H176="",$L176=""),"",IF(SUMPRODUCT(($A$7:$A$606&lt;&gt;"")*($K$7:$K$606=$K176)*($H$7:$H$606=$H176)*(ROW($A$7:$A$606)&lt;&gt;176)*($L$7:$L$606&lt;=$M176)*($M$7:$M$606&gt;=$L176))&gt;0,"⚠ Çakışma","OK")))</f>
        <v/>
      </c>
      <c r="Q176" s="28" t="str">
        <f aca="false">IF($A176="","",IF(OR($E176="",$H176="",$L176=""),"",IF(SUMPRODUCT(($A$7:$A$606&lt;&gt;"")*($E$7:$E$606=$E176)*($H$7:$H$606=$H176)*(ROW($A$7:$A$606)&lt;&gt;176)*($L$7:$L$606&lt;=$M176)*($M$7:$M$606&gt;=$L176))&gt;0,"⚠ Çakışma","OK")))</f>
        <v/>
      </c>
      <c r="R176" s="28" t="str">
        <f aca="false">IF($A176="","",IF(OR($N176&lt;&gt;"",$O176="⚠ Çakışma",$P176="⚠ Çakışma",$Q176="⚠ Çakışma"),"⚠ Kontrol Et","✓ Uygun"))</f>
        <v/>
      </c>
    </row>
    <row r="177" customFormat="false" ht="13.5" hidden="false" customHeight="true" outlineLevel="0" collapsed="false">
      <c r="A177" s="28" t="str">
        <f aca="false">IF('1-Turizm Rehberliği'!A174="","","Turizm Rehberliği")</f>
        <v/>
      </c>
      <c r="B177" s="28" t="str">
        <f aca="false">IF($A177="","",IF('1-Turizm Rehberliği'!A174="","",'1-Turizm Rehberliği'!A174))</f>
        <v/>
      </c>
      <c r="C177" s="29" t="str">
        <f aca="false">IF($A177="","",IF('1-Turizm Rehberliği'!B174="","",'1-Turizm Rehberliği'!B174))</f>
        <v/>
      </c>
      <c r="D177" s="28" t="str">
        <f aca="false">IF($A177="","",IF('1-Turizm Rehberliği'!C174="","",'1-Turizm Rehberliği'!C174))</f>
        <v/>
      </c>
      <c r="E177" s="28" t="str">
        <f aca="false">IF($A177="","",$A177&amp;"-"&amp;$D177)</f>
        <v/>
      </c>
      <c r="F177" s="28" t="str">
        <f aca="false">IF($A177="","",IF('1-Turizm Rehberliği'!D174="","",'1-Turizm Rehberliği'!D174))</f>
        <v/>
      </c>
      <c r="G177" s="28" t="str">
        <f aca="false">IF($A177="","",IF('1-Turizm Rehberliği'!E174="","",'1-Turizm Rehberliği'!E174))</f>
        <v/>
      </c>
      <c r="H177" s="28" t="str">
        <f aca="false">IF($A177="","",IF('1-Turizm Rehberliği'!F174="","",'1-Turizm Rehberliği'!F174))</f>
        <v/>
      </c>
      <c r="I177" s="28" t="str">
        <f aca="false">IF($A177="","",IF('1-Turizm Rehberliği'!G174="","",'1-Turizm Rehberliği'!G174))</f>
        <v/>
      </c>
      <c r="J177" s="28" t="str">
        <f aca="false">IF($A177="","",IF('1-Turizm Rehberliği'!H174="","",'1-Turizm Rehberliği'!H174))</f>
        <v/>
      </c>
      <c r="K177" s="28" t="str">
        <f aca="false">IF($A177="","",IF('1-Turizm Rehberliği'!I174="","",'1-Turizm Rehberliği'!I174))</f>
        <v/>
      </c>
      <c r="L177" s="28" t="str">
        <f aca="false">IF($I177="","",MATCH($I177,{"08.00";"09.00";"10.00";"11.00";"12.00";"13.00";"14.00";"15.00";"16.00";"17.00"},0))</f>
        <v/>
      </c>
      <c r="M177" s="28" t="str">
        <f aca="false">IF(OR($L177="",$J177=""),"",$L177+$J177-1)</f>
        <v/>
      </c>
      <c r="N177" s="28" t="str">
        <f aca="false">IF($A177="","",IF(OR($L177="",$M177=""),"",IF($M177&gt;10,"⚠ Saat Taşıyor","")))</f>
        <v/>
      </c>
      <c r="O177" s="28" t="str">
        <f aca="false">IF($A177="","",IF(OR($G177="",$H177="",$L177=""),"",IF(SUMPRODUCT(($A$7:$A$606&lt;&gt;"")*($G$7:$G$606=$G177)*($H$7:$H$606=$H177)*(ROW($A$7:$A$606)&lt;&gt;177)*($L$7:$L$606&lt;=$M177)*($M$7:$M$606&gt;=$L177))&gt;0,"⚠ Çakışma","OK")))</f>
        <v/>
      </c>
      <c r="P177" s="28" t="str">
        <f aca="false">IF($A177="","",IF(OR($K177="",$H177="",$L177=""),"",IF(SUMPRODUCT(($A$7:$A$606&lt;&gt;"")*($K$7:$K$606=$K177)*($H$7:$H$606=$H177)*(ROW($A$7:$A$606)&lt;&gt;177)*($L$7:$L$606&lt;=$M177)*($M$7:$M$606&gt;=$L177))&gt;0,"⚠ Çakışma","OK")))</f>
        <v/>
      </c>
      <c r="Q177" s="28" t="str">
        <f aca="false">IF($A177="","",IF(OR($E177="",$H177="",$L177=""),"",IF(SUMPRODUCT(($A$7:$A$606&lt;&gt;"")*($E$7:$E$606=$E177)*($H$7:$H$606=$H177)*(ROW($A$7:$A$606)&lt;&gt;177)*($L$7:$L$606&lt;=$M177)*($M$7:$M$606&gt;=$L177))&gt;0,"⚠ Çakışma","OK")))</f>
        <v/>
      </c>
      <c r="R177" s="28" t="str">
        <f aca="false">IF($A177="","",IF(OR($N177&lt;&gt;"",$O177="⚠ Çakışma",$P177="⚠ Çakışma",$Q177="⚠ Çakışma"),"⚠ Kontrol Et","✓ Uygun"))</f>
        <v/>
      </c>
    </row>
    <row r="178" customFormat="false" ht="13.5" hidden="false" customHeight="true" outlineLevel="0" collapsed="false">
      <c r="A178" s="28" t="str">
        <f aca="false">IF('1-Turizm Rehberliği'!A175="","","Turizm Rehberliği")</f>
        <v/>
      </c>
      <c r="B178" s="28" t="str">
        <f aca="false">IF($A178="","",IF('1-Turizm Rehberliği'!A175="","",'1-Turizm Rehberliği'!A175))</f>
        <v/>
      </c>
      <c r="C178" s="29" t="str">
        <f aca="false">IF($A178="","",IF('1-Turizm Rehberliği'!B175="","",'1-Turizm Rehberliği'!B175))</f>
        <v/>
      </c>
      <c r="D178" s="28" t="str">
        <f aca="false">IF($A178="","",IF('1-Turizm Rehberliği'!C175="","",'1-Turizm Rehberliği'!C175))</f>
        <v/>
      </c>
      <c r="E178" s="28" t="str">
        <f aca="false">IF($A178="","",$A178&amp;"-"&amp;$D178)</f>
        <v/>
      </c>
      <c r="F178" s="28" t="str">
        <f aca="false">IF($A178="","",IF('1-Turizm Rehberliği'!D175="","",'1-Turizm Rehberliği'!D175))</f>
        <v/>
      </c>
      <c r="G178" s="28" t="str">
        <f aca="false">IF($A178="","",IF('1-Turizm Rehberliği'!E175="","",'1-Turizm Rehberliği'!E175))</f>
        <v/>
      </c>
      <c r="H178" s="28" t="str">
        <f aca="false">IF($A178="","",IF('1-Turizm Rehberliği'!F175="","",'1-Turizm Rehberliği'!F175))</f>
        <v/>
      </c>
      <c r="I178" s="28" t="str">
        <f aca="false">IF($A178="","",IF('1-Turizm Rehberliği'!G175="","",'1-Turizm Rehberliği'!G175))</f>
        <v/>
      </c>
      <c r="J178" s="28" t="str">
        <f aca="false">IF($A178="","",IF('1-Turizm Rehberliği'!H175="","",'1-Turizm Rehberliği'!H175))</f>
        <v/>
      </c>
      <c r="K178" s="28" t="str">
        <f aca="false">IF($A178="","",IF('1-Turizm Rehberliği'!I175="","",'1-Turizm Rehberliği'!I175))</f>
        <v/>
      </c>
      <c r="L178" s="28" t="str">
        <f aca="false">IF($I178="","",MATCH($I178,{"08.00";"09.00";"10.00";"11.00";"12.00";"13.00";"14.00";"15.00";"16.00";"17.00"},0))</f>
        <v/>
      </c>
      <c r="M178" s="28" t="str">
        <f aca="false">IF(OR($L178="",$J178=""),"",$L178+$J178-1)</f>
        <v/>
      </c>
      <c r="N178" s="28" t="str">
        <f aca="false">IF($A178="","",IF(OR($L178="",$M178=""),"",IF($M178&gt;10,"⚠ Saat Taşıyor","")))</f>
        <v/>
      </c>
      <c r="O178" s="28" t="str">
        <f aca="false">IF($A178="","",IF(OR($G178="",$H178="",$L178=""),"",IF(SUMPRODUCT(($A$7:$A$606&lt;&gt;"")*($G$7:$G$606=$G178)*($H$7:$H$606=$H178)*(ROW($A$7:$A$606)&lt;&gt;178)*($L$7:$L$606&lt;=$M178)*($M$7:$M$606&gt;=$L178))&gt;0,"⚠ Çakışma","OK")))</f>
        <v/>
      </c>
      <c r="P178" s="28" t="str">
        <f aca="false">IF($A178="","",IF(OR($K178="",$H178="",$L178=""),"",IF(SUMPRODUCT(($A$7:$A$606&lt;&gt;"")*($K$7:$K$606=$K178)*($H$7:$H$606=$H178)*(ROW($A$7:$A$606)&lt;&gt;178)*($L$7:$L$606&lt;=$M178)*($M$7:$M$606&gt;=$L178))&gt;0,"⚠ Çakışma","OK")))</f>
        <v/>
      </c>
      <c r="Q178" s="28" t="str">
        <f aca="false">IF($A178="","",IF(OR($E178="",$H178="",$L178=""),"",IF(SUMPRODUCT(($A$7:$A$606&lt;&gt;"")*($E$7:$E$606=$E178)*($H$7:$H$606=$H178)*(ROW($A$7:$A$606)&lt;&gt;178)*($L$7:$L$606&lt;=$M178)*($M$7:$M$606&gt;=$L178))&gt;0,"⚠ Çakışma","OK")))</f>
        <v/>
      </c>
      <c r="R178" s="28" t="str">
        <f aca="false">IF($A178="","",IF(OR($N178&lt;&gt;"",$O178="⚠ Çakışma",$P178="⚠ Çakışma",$Q178="⚠ Çakışma"),"⚠ Kontrol Et","✓ Uygun"))</f>
        <v/>
      </c>
    </row>
    <row r="179" customFormat="false" ht="13.5" hidden="false" customHeight="true" outlineLevel="0" collapsed="false">
      <c r="A179" s="28" t="str">
        <f aca="false">IF('1-Turizm Rehberliği'!A176="","","Turizm Rehberliği")</f>
        <v/>
      </c>
      <c r="B179" s="28" t="str">
        <f aca="false">IF($A179="","",IF('1-Turizm Rehberliği'!A176="","",'1-Turizm Rehberliği'!A176))</f>
        <v/>
      </c>
      <c r="C179" s="29" t="str">
        <f aca="false">IF($A179="","",IF('1-Turizm Rehberliği'!B176="","",'1-Turizm Rehberliği'!B176))</f>
        <v/>
      </c>
      <c r="D179" s="28" t="str">
        <f aca="false">IF($A179="","",IF('1-Turizm Rehberliği'!C176="","",'1-Turizm Rehberliği'!C176))</f>
        <v/>
      </c>
      <c r="E179" s="28" t="str">
        <f aca="false">IF($A179="","",$A179&amp;"-"&amp;$D179)</f>
        <v/>
      </c>
      <c r="F179" s="28" t="str">
        <f aca="false">IF($A179="","",IF('1-Turizm Rehberliği'!D176="","",'1-Turizm Rehberliği'!D176))</f>
        <v/>
      </c>
      <c r="G179" s="28" t="str">
        <f aca="false">IF($A179="","",IF('1-Turizm Rehberliği'!E176="","",'1-Turizm Rehberliği'!E176))</f>
        <v/>
      </c>
      <c r="H179" s="28" t="str">
        <f aca="false">IF($A179="","",IF('1-Turizm Rehberliği'!F176="","",'1-Turizm Rehberliği'!F176))</f>
        <v/>
      </c>
      <c r="I179" s="28" t="str">
        <f aca="false">IF($A179="","",IF('1-Turizm Rehberliği'!G176="","",'1-Turizm Rehberliği'!G176))</f>
        <v/>
      </c>
      <c r="J179" s="28" t="str">
        <f aca="false">IF($A179="","",IF('1-Turizm Rehberliği'!H176="","",'1-Turizm Rehberliği'!H176))</f>
        <v/>
      </c>
      <c r="K179" s="28" t="str">
        <f aca="false">IF($A179="","",IF('1-Turizm Rehberliği'!I176="","",'1-Turizm Rehberliği'!I176))</f>
        <v/>
      </c>
      <c r="L179" s="28" t="str">
        <f aca="false">IF($I179="","",MATCH($I179,{"08.00";"09.00";"10.00";"11.00";"12.00";"13.00";"14.00";"15.00";"16.00";"17.00"},0))</f>
        <v/>
      </c>
      <c r="M179" s="28" t="str">
        <f aca="false">IF(OR($L179="",$J179=""),"",$L179+$J179-1)</f>
        <v/>
      </c>
      <c r="N179" s="28" t="str">
        <f aca="false">IF($A179="","",IF(OR($L179="",$M179=""),"",IF($M179&gt;10,"⚠ Saat Taşıyor","")))</f>
        <v/>
      </c>
      <c r="O179" s="28" t="str">
        <f aca="false">IF($A179="","",IF(OR($G179="",$H179="",$L179=""),"",IF(SUMPRODUCT(($A$7:$A$606&lt;&gt;"")*($G$7:$G$606=$G179)*($H$7:$H$606=$H179)*(ROW($A$7:$A$606)&lt;&gt;179)*($L$7:$L$606&lt;=$M179)*($M$7:$M$606&gt;=$L179))&gt;0,"⚠ Çakışma","OK")))</f>
        <v/>
      </c>
      <c r="P179" s="28" t="str">
        <f aca="false">IF($A179="","",IF(OR($K179="",$H179="",$L179=""),"",IF(SUMPRODUCT(($A$7:$A$606&lt;&gt;"")*($K$7:$K$606=$K179)*($H$7:$H$606=$H179)*(ROW($A$7:$A$606)&lt;&gt;179)*($L$7:$L$606&lt;=$M179)*($M$7:$M$606&gt;=$L179))&gt;0,"⚠ Çakışma","OK")))</f>
        <v/>
      </c>
      <c r="Q179" s="28" t="str">
        <f aca="false">IF($A179="","",IF(OR($E179="",$H179="",$L179=""),"",IF(SUMPRODUCT(($A$7:$A$606&lt;&gt;"")*($E$7:$E$606=$E179)*($H$7:$H$606=$H179)*(ROW($A$7:$A$606)&lt;&gt;179)*($L$7:$L$606&lt;=$M179)*($M$7:$M$606&gt;=$L179))&gt;0,"⚠ Çakışma","OK")))</f>
        <v/>
      </c>
      <c r="R179" s="28" t="str">
        <f aca="false">IF($A179="","",IF(OR($N179&lt;&gt;"",$O179="⚠ Çakışma",$P179="⚠ Çakışma",$Q179="⚠ Çakışma"),"⚠ Kontrol Et","✓ Uygun"))</f>
        <v/>
      </c>
    </row>
    <row r="180" customFormat="false" ht="13.5" hidden="false" customHeight="true" outlineLevel="0" collapsed="false">
      <c r="A180" s="28" t="str">
        <f aca="false">IF('1-Turizm Rehberliği'!A177="","","Turizm Rehberliği")</f>
        <v/>
      </c>
      <c r="B180" s="28" t="str">
        <f aca="false">IF($A180="","",IF('1-Turizm Rehberliği'!A177="","",'1-Turizm Rehberliği'!A177))</f>
        <v/>
      </c>
      <c r="C180" s="29" t="str">
        <f aca="false">IF($A180="","",IF('1-Turizm Rehberliği'!B177="","",'1-Turizm Rehberliği'!B177))</f>
        <v/>
      </c>
      <c r="D180" s="28" t="str">
        <f aca="false">IF($A180="","",IF('1-Turizm Rehberliği'!C177="","",'1-Turizm Rehberliği'!C177))</f>
        <v/>
      </c>
      <c r="E180" s="28" t="str">
        <f aca="false">IF($A180="","",$A180&amp;"-"&amp;$D180)</f>
        <v/>
      </c>
      <c r="F180" s="28" t="str">
        <f aca="false">IF($A180="","",IF('1-Turizm Rehberliği'!D177="","",'1-Turizm Rehberliği'!D177))</f>
        <v/>
      </c>
      <c r="G180" s="28" t="str">
        <f aca="false">IF($A180="","",IF('1-Turizm Rehberliği'!E177="","",'1-Turizm Rehberliği'!E177))</f>
        <v/>
      </c>
      <c r="H180" s="28" t="str">
        <f aca="false">IF($A180="","",IF('1-Turizm Rehberliği'!F177="","",'1-Turizm Rehberliği'!F177))</f>
        <v/>
      </c>
      <c r="I180" s="28" t="str">
        <f aca="false">IF($A180="","",IF('1-Turizm Rehberliği'!G177="","",'1-Turizm Rehberliği'!G177))</f>
        <v/>
      </c>
      <c r="J180" s="28" t="str">
        <f aca="false">IF($A180="","",IF('1-Turizm Rehberliği'!H177="","",'1-Turizm Rehberliği'!H177))</f>
        <v/>
      </c>
      <c r="K180" s="28" t="str">
        <f aca="false">IF($A180="","",IF('1-Turizm Rehberliği'!I177="","",'1-Turizm Rehberliği'!I177))</f>
        <v/>
      </c>
      <c r="L180" s="28" t="str">
        <f aca="false">IF($I180="","",MATCH($I180,{"08.00";"09.00";"10.00";"11.00";"12.00";"13.00";"14.00";"15.00";"16.00";"17.00"},0))</f>
        <v/>
      </c>
      <c r="M180" s="28" t="str">
        <f aca="false">IF(OR($L180="",$J180=""),"",$L180+$J180-1)</f>
        <v/>
      </c>
      <c r="N180" s="28" t="str">
        <f aca="false">IF($A180="","",IF(OR($L180="",$M180=""),"",IF($M180&gt;10,"⚠ Saat Taşıyor","")))</f>
        <v/>
      </c>
      <c r="O180" s="28" t="str">
        <f aca="false">IF($A180="","",IF(OR($G180="",$H180="",$L180=""),"",IF(SUMPRODUCT(($A$7:$A$606&lt;&gt;"")*($G$7:$G$606=$G180)*($H$7:$H$606=$H180)*(ROW($A$7:$A$606)&lt;&gt;180)*($L$7:$L$606&lt;=$M180)*($M$7:$M$606&gt;=$L180))&gt;0,"⚠ Çakışma","OK")))</f>
        <v/>
      </c>
      <c r="P180" s="28" t="str">
        <f aca="false">IF($A180="","",IF(OR($K180="",$H180="",$L180=""),"",IF(SUMPRODUCT(($A$7:$A$606&lt;&gt;"")*($K$7:$K$606=$K180)*($H$7:$H$606=$H180)*(ROW($A$7:$A$606)&lt;&gt;180)*($L$7:$L$606&lt;=$M180)*($M$7:$M$606&gt;=$L180))&gt;0,"⚠ Çakışma","OK")))</f>
        <v/>
      </c>
      <c r="Q180" s="28" t="str">
        <f aca="false">IF($A180="","",IF(OR($E180="",$H180="",$L180=""),"",IF(SUMPRODUCT(($A$7:$A$606&lt;&gt;"")*($E$7:$E$606=$E180)*($H$7:$H$606=$H180)*(ROW($A$7:$A$606)&lt;&gt;180)*($L$7:$L$606&lt;=$M180)*($M$7:$M$606&gt;=$L180))&gt;0,"⚠ Çakışma","OK")))</f>
        <v/>
      </c>
      <c r="R180" s="28" t="str">
        <f aca="false">IF($A180="","",IF(OR($N180&lt;&gt;"",$O180="⚠ Çakışma",$P180="⚠ Çakışma",$Q180="⚠ Çakışma"),"⚠ Kontrol Et","✓ Uygun"))</f>
        <v/>
      </c>
    </row>
    <row r="181" customFormat="false" ht="13.5" hidden="false" customHeight="true" outlineLevel="0" collapsed="false">
      <c r="A181" s="28" t="str">
        <f aca="false">IF('1-Turizm Rehberliği'!A178="","","Turizm Rehberliği")</f>
        <v/>
      </c>
      <c r="B181" s="28" t="str">
        <f aca="false">IF($A181="","",IF('1-Turizm Rehberliği'!A178="","",'1-Turizm Rehberliği'!A178))</f>
        <v/>
      </c>
      <c r="C181" s="29" t="str">
        <f aca="false">IF($A181="","",IF('1-Turizm Rehberliği'!B178="","",'1-Turizm Rehberliği'!B178))</f>
        <v/>
      </c>
      <c r="D181" s="28" t="str">
        <f aca="false">IF($A181="","",IF('1-Turizm Rehberliği'!C178="","",'1-Turizm Rehberliği'!C178))</f>
        <v/>
      </c>
      <c r="E181" s="28" t="str">
        <f aca="false">IF($A181="","",$A181&amp;"-"&amp;$D181)</f>
        <v/>
      </c>
      <c r="F181" s="28" t="str">
        <f aca="false">IF($A181="","",IF('1-Turizm Rehberliği'!D178="","",'1-Turizm Rehberliği'!D178))</f>
        <v/>
      </c>
      <c r="G181" s="28" t="str">
        <f aca="false">IF($A181="","",IF('1-Turizm Rehberliği'!E178="","",'1-Turizm Rehberliği'!E178))</f>
        <v/>
      </c>
      <c r="H181" s="28" t="str">
        <f aca="false">IF($A181="","",IF('1-Turizm Rehberliği'!F178="","",'1-Turizm Rehberliği'!F178))</f>
        <v/>
      </c>
      <c r="I181" s="28" t="str">
        <f aca="false">IF($A181="","",IF('1-Turizm Rehberliği'!G178="","",'1-Turizm Rehberliği'!G178))</f>
        <v/>
      </c>
      <c r="J181" s="28" t="str">
        <f aca="false">IF($A181="","",IF('1-Turizm Rehberliği'!H178="","",'1-Turizm Rehberliği'!H178))</f>
        <v/>
      </c>
      <c r="K181" s="28" t="str">
        <f aca="false">IF($A181="","",IF('1-Turizm Rehberliği'!I178="","",'1-Turizm Rehberliği'!I178))</f>
        <v/>
      </c>
      <c r="L181" s="28" t="str">
        <f aca="false">IF($I181="","",MATCH($I181,{"08.00";"09.00";"10.00";"11.00";"12.00";"13.00";"14.00";"15.00";"16.00";"17.00"},0))</f>
        <v/>
      </c>
      <c r="M181" s="28" t="str">
        <f aca="false">IF(OR($L181="",$J181=""),"",$L181+$J181-1)</f>
        <v/>
      </c>
      <c r="N181" s="28" t="str">
        <f aca="false">IF($A181="","",IF(OR($L181="",$M181=""),"",IF($M181&gt;10,"⚠ Saat Taşıyor","")))</f>
        <v/>
      </c>
      <c r="O181" s="28" t="str">
        <f aca="false">IF($A181="","",IF(OR($G181="",$H181="",$L181=""),"",IF(SUMPRODUCT(($A$7:$A$606&lt;&gt;"")*($G$7:$G$606=$G181)*($H$7:$H$606=$H181)*(ROW($A$7:$A$606)&lt;&gt;181)*($L$7:$L$606&lt;=$M181)*($M$7:$M$606&gt;=$L181))&gt;0,"⚠ Çakışma","OK")))</f>
        <v/>
      </c>
      <c r="P181" s="28" t="str">
        <f aca="false">IF($A181="","",IF(OR($K181="",$H181="",$L181=""),"",IF(SUMPRODUCT(($A$7:$A$606&lt;&gt;"")*($K$7:$K$606=$K181)*($H$7:$H$606=$H181)*(ROW($A$7:$A$606)&lt;&gt;181)*($L$7:$L$606&lt;=$M181)*($M$7:$M$606&gt;=$L181))&gt;0,"⚠ Çakışma","OK")))</f>
        <v/>
      </c>
      <c r="Q181" s="28" t="str">
        <f aca="false">IF($A181="","",IF(OR($E181="",$H181="",$L181=""),"",IF(SUMPRODUCT(($A$7:$A$606&lt;&gt;"")*($E$7:$E$606=$E181)*($H$7:$H$606=$H181)*(ROW($A$7:$A$606)&lt;&gt;181)*($L$7:$L$606&lt;=$M181)*($M$7:$M$606&gt;=$L181))&gt;0,"⚠ Çakışma","OK")))</f>
        <v/>
      </c>
      <c r="R181" s="28" t="str">
        <f aca="false">IF($A181="","",IF(OR($N181&lt;&gt;"",$O181="⚠ Çakışma",$P181="⚠ Çakışma",$Q181="⚠ Çakışma"),"⚠ Kontrol Et","✓ Uygun"))</f>
        <v/>
      </c>
    </row>
    <row r="182" customFormat="false" ht="13.5" hidden="false" customHeight="true" outlineLevel="0" collapsed="false">
      <c r="A182" s="28" t="str">
        <f aca="false">IF('1-Turizm Rehberliği'!A179="","","Turizm Rehberliği")</f>
        <v/>
      </c>
      <c r="B182" s="28" t="str">
        <f aca="false">IF($A182="","",IF('1-Turizm Rehberliği'!A179="","",'1-Turizm Rehberliği'!A179))</f>
        <v/>
      </c>
      <c r="C182" s="29" t="str">
        <f aca="false">IF($A182="","",IF('1-Turizm Rehberliği'!B179="","",'1-Turizm Rehberliği'!B179))</f>
        <v/>
      </c>
      <c r="D182" s="28" t="str">
        <f aca="false">IF($A182="","",IF('1-Turizm Rehberliği'!C179="","",'1-Turizm Rehberliği'!C179))</f>
        <v/>
      </c>
      <c r="E182" s="28" t="str">
        <f aca="false">IF($A182="","",$A182&amp;"-"&amp;$D182)</f>
        <v/>
      </c>
      <c r="F182" s="28" t="str">
        <f aca="false">IF($A182="","",IF('1-Turizm Rehberliği'!D179="","",'1-Turizm Rehberliği'!D179))</f>
        <v/>
      </c>
      <c r="G182" s="28" t="str">
        <f aca="false">IF($A182="","",IF('1-Turizm Rehberliği'!E179="","",'1-Turizm Rehberliği'!E179))</f>
        <v/>
      </c>
      <c r="H182" s="28" t="str">
        <f aca="false">IF($A182="","",IF('1-Turizm Rehberliği'!F179="","",'1-Turizm Rehberliği'!F179))</f>
        <v/>
      </c>
      <c r="I182" s="28" t="str">
        <f aca="false">IF($A182="","",IF('1-Turizm Rehberliği'!G179="","",'1-Turizm Rehberliği'!G179))</f>
        <v/>
      </c>
      <c r="J182" s="28" t="str">
        <f aca="false">IF($A182="","",IF('1-Turizm Rehberliği'!H179="","",'1-Turizm Rehberliği'!H179))</f>
        <v/>
      </c>
      <c r="K182" s="28" t="str">
        <f aca="false">IF($A182="","",IF('1-Turizm Rehberliği'!I179="","",'1-Turizm Rehberliği'!I179))</f>
        <v/>
      </c>
      <c r="L182" s="28" t="str">
        <f aca="false">IF($I182="","",MATCH($I182,{"08.00";"09.00";"10.00";"11.00";"12.00";"13.00";"14.00";"15.00";"16.00";"17.00"},0))</f>
        <v/>
      </c>
      <c r="M182" s="28" t="str">
        <f aca="false">IF(OR($L182="",$J182=""),"",$L182+$J182-1)</f>
        <v/>
      </c>
      <c r="N182" s="28" t="str">
        <f aca="false">IF($A182="","",IF(OR($L182="",$M182=""),"",IF($M182&gt;10,"⚠ Saat Taşıyor","")))</f>
        <v/>
      </c>
      <c r="O182" s="28" t="str">
        <f aca="false">IF($A182="","",IF(OR($G182="",$H182="",$L182=""),"",IF(SUMPRODUCT(($A$7:$A$606&lt;&gt;"")*($G$7:$G$606=$G182)*($H$7:$H$606=$H182)*(ROW($A$7:$A$606)&lt;&gt;182)*($L$7:$L$606&lt;=$M182)*($M$7:$M$606&gt;=$L182))&gt;0,"⚠ Çakışma","OK")))</f>
        <v/>
      </c>
      <c r="P182" s="28" t="str">
        <f aca="false">IF($A182="","",IF(OR($K182="",$H182="",$L182=""),"",IF(SUMPRODUCT(($A$7:$A$606&lt;&gt;"")*($K$7:$K$606=$K182)*($H$7:$H$606=$H182)*(ROW($A$7:$A$606)&lt;&gt;182)*($L$7:$L$606&lt;=$M182)*($M$7:$M$606&gt;=$L182))&gt;0,"⚠ Çakışma","OK")))</f>
        <v/>
      </c>
      <c r="Q182" s="28" t="str">
        <f aca="false">IF($A182="","",IF(OR($E182="",$H182="",$L182=""),"",IF(SUMPRODUCT(($A$7:$A$606&lt;&gt;"")*($E$7:$E$606=$E182)*($H$7:$H$606=$H182)*(ROW($A$7:$A$606)&lt;&gt;182)*($L$7:$L$606&lt;=$M182)*($M$7:$M$606&gt;=$L182))&gt;0,"⚠ Çakışma","OK")))</f>
        <v/>
      </c>
      <c r="R182" s="28" t="str">
        <f aca="false">IF($A182="","",IF(OR($N182&lt;&gt;"",$O182="⚠ Çakışma",$P182="⚠ Çakışma",$Q182="⚠ Çakışma"),"⚠ Kontrol Et","✓ Uygun"))</f>
        <v/>
      </c>
    </row>
    <row r="183" customFormat="false" ht="13.5" hidden="false" customHeight="true" outlineLevel="0" collapsed="false">
      <c r="A183" s="28" t="str">
        <f aca="false">IF('1-Turizm Rehberliği'!A180="","","Turizm Rehberliği")</f>
        <v/>
      </c>
      <c r="B183" s="28" t="str">
        <f aca="false">IF($A183="","",IF('1-Turizm Rehberliği'!A180="","",'1-Turizm Rehberliği'!A180))</f>
        <v/>
      </c>
      <c r="C183" s="29" t="str">
        <f aca="false">IF($A183="","",IF('1-Turizm Rehberliği'!B180="","",'1-Turizm Rehberliği'!B180))</f>
        <v/>
      </c>
      <c r="D183" s="28" t="str">
        <f aca="false">IF($A183="","",IF('1-Turizm Rehberliği'!C180="","",'1-Turizm Rehberliği'!C180))</f>
        <v/>
      </c>
      <c r="E183" s="28" t="str">
        <f aca="false">IF($A183="","",$A183&amp;"-"&amp;$D183)</f>
        <v/>
      </c>
      <c r="F183" s="28" t="str">
        <f aca="false">IF($A183="","",IF('1-Turizm Rehberliği'!D180="","",'1-Turizm Rehberliği'!D180))</f>
        <v/>
      </c>
      <c r="G183" s="28" t="str">
        <f aca="false">IF($A183="","",IF('1-Turizm Rehberliği'!E180="","",'1-Turizm Rehberliği'!E180))</f>
        <v/>
      </c>
      <c r="H183" s="28" t="str">
        <f aca="false">IF($A183="","",IF('1-Turizm Rehberliği'!F180="","",'1-Turizm Rehberliği'!F180))</f>
        <v/>
      </c>
      <c r="I183" s="28" t="str">
        <f aca="false">IF($A183="","",IF('1-Turizm Rehberliği'!G180="","",'1-Turizm Rehberliği'!G180))</f>
        <v/>
      </c>
      <c r="J183" s="28" t="str">
        <f aca="false">IF($A183="","",IF('1-Turizm Rehberliği'!H180="","",'1-Turizm Rehberliği'!H180))</f>
        <v/>
      </c>
      <c r="K183" s="28" t="str">
        <f aca="false">IF($A183="","",IF('1-Turizm Rehberliği'!I180="","",'1-Turizm Rehberliği'!I180))</f>
        <v/>
      </c>
      <c r="L183" s="28" t="str">
        <f aca="false">IF($I183="","",MATCH($I183,{"08.00";"09.00";"10.00";"11.00";"12.00";"13.00";"14.00";"15.00";"16.00";"17.00"},0))</f>
        <v/>
      </c>
      <c r="M183" s="28" t="str">
        <f aca="false">IF(OR($L183="",$J183=""),"",$L183+$J183-1)</f>
        <v/>
      </c>
      <c r="N183" s="28" t="str">
        <f aca="false">IF($A183="","",IF(OR($L183="",$M183=""),"",IF($M183&gt;10,"⚠ Saat Taşıyor","")))</f>
        <v/>
      </c>
      <c r="O183" s="28" t="str">
        <f aca="false">IF($A183="","",IF(OR($G183="",$H183="",$L183=""),"",IF(SUMPRODUCT(($A$7:$A$606&lt;&gt;"")*($G$7:$G$606=$G183)*($H$7:$H$606=$H183)*(ROW($A$7:$A$606)&lt;&gt;183)*($L$7:$L$606&lt;=$M183)*($M$7:$M$606&gt;=$L183))&gt;0,"⚠ Çakışma","OK")))</f>
        <v/>
      </c>
      <c r="P183" s="28" t="str">
        <f aca="false">IF($A183="","",IF(OR($K183="",$H183="",$L183=""),"",IF(SUMPRODUCT(($A$7:$A$606&lt;&gt;"")*($K$7:$K$606=$K183)*($H$7:$H$606=$H183)*(ROW($A$7:$A$606)&lt;&gt;183)*($L$7:$L$606&lt;=$M183)*($M$7:$M$606&gt;=$L183))&gt;0,"⚠ Çakışma","OK")))</f>
        <v/>
      </c>
      <c r="Q183" s="28" t="str">
        <f aca="false">IF($A183="","",IF(OR($E183="",$H183="",$L183=""),"",IF(SUMPRODUCT(($A$7:$A$606&lt;&gt;"")*($E$7:$E$606=$E183)*($H$7:$H$606=$H183)*(ROW($A$7:$A$606)&lt;&gt;183)*($L$7:$L$606&lt;=$M183)*($M$7:$M$606&gt;=$L183))&gt;0,"⚠ Çakışma","OK")))</f>
        <v/>
      </c>
      <c r="R183" s="28" t="str">
        <f aca="false">IF($A183="","",IF(OR($N183&lt;&gt;"",$O183="⚠ Çakışma",$P183="⚠ Çakışma",$Q183="⚠ Çakışma"),"⚠ Kontrol Et","✓ Uygun"))</f>
        <v/>
      </c>
    </row>
    <row r="184" customFormat="false" ht="13.5" hidden="false" customHeight="true" outlineLevel="0" collapsed="false">
      <c r="A184" s="28" t="str">
        <f aca="false">IF('1-Turizm Rehberliği'!A181="","","Turizm Rehberliği")</f>
        <v/>
      </c>
      <c r="B184" s="28" t="str">
        <f aca="false">IF($A184="","",IF('1-Turizm Rehberliği'!A181="","",'1-Turizm Rehberliği'!A181))</f>
        <v/>
      </c>
      <c r="C184" s="29" t="str">
        <f aca="false">IF($A184="","",IF('1-Turizm Rehberliği'!B181="","",'1-Turizm Rehberliği'!B181))</f>
        <v/>
      </c>
      <c r="D184" s="28" t="str">
        <f aca="false">IF($A184="","",IF('1-Turizm Rehberliği'!C181="","",'1-Turizm Rehberliği'!C181))</f>
        <v/>
      </c>
      <c r="E184" s="28" t="str">
        <f aca="false">IF($A184="","",$A184&amp;"-"&amp;$D184)</f>
        <v/>
      </c>
      <c r="F184" s="28" t="str">
        <f aca="false">IF($A184="","",IF('1-Turizm Rehberliği'!D181="","",'1-Turizm Rehberliği'!D181))</f>
        <v/>
      </c>
      <c r="G184" s="28" t="str">
        <f aca="false">IF($A184="","",IF('1-Turizm Rehberliği'!E181="","",'1-Turizm Rehberliği'!E181))</f>
        <v/>
      </c>
      <c r="H184" s="28" t="str">
        <f aca="false">IF($A184="","",IF('1-Turizm Rehberliği'!F181="","",'1-Turizm Rehberliği'!F181))</f>
        <v/>
      </c>
      <c r="I184" s="28" t="str">
        <f aca="false">IF($A184="","",IF('1-Turizm Rehberliği'!G181="","",'1-Turizm Rehberliği'!G181))</f>
        <v/>
      </c>
      <c r="J184" s="28" t="str">
        <f aca="false">IF($A184="","",IF('1-Turizm Rehberliği'!H181="","",'1-Turizm Rehberliği'!H181))</f>
        <v/>
      </c>
      <c r="K184" s="28" t="str">
        <f aca="false">IF($A184="","",IF('1-Turizm Rehberliği'!I181="","",'1-Turizm Rehberliği'!I181))</f>
        <v/>
      </c>
      <c r="L184" s="28" t="str">
        <f aca="false">IF($I184="","",MATCH($I184,{"08.00";"09.00";"10.00";"11.00";"12.00";"13.00";"14.00";"15.00";"16.00";"17.00"},0))</f>
        <v/>
      </c>
      <c r="M184" s="28" t="str">
        <f aca="false">IF(OR($L184="",$J184=""),"",$L184+$J184-1)</f>
        <v/>
      </c>
      <c r="N184" s="28" t="str">
        <f aca="false">IF($A184="","",IF(OR($L184="",$M184=""),"",IF($M184&gt;10,"⚠ Saat Taşıyor","")))</f>
        <v/>
      </c>
      <c r="O184" s="28" t="str">
        <f aca="false">IF($A184="","",IF(OR($G184="",$H184="",$L184=""),"",IF(SUMPRODUCT(($A$7:$A$606&lt;&gt;"")*($G$7:$G$606=$G184)*($H$7:$H$606=$H184)*(ROW($A$7:$A$606)&lt;&gt;184)*($L$7:$L$606&lt;=$M184)*($M$7:$M$606&gt;=$L184))&gt;0,"⚠ Çakışma","OK")))</f>
        <v/>
      </c>
      <c r="P184" s="28" t="str">
        <f aca="false">IF($A184="","",IF(OR($K184="",$H184="",$L184=""),"",IF(SUMPRODUCT(($A$7:$A$606&lt;&gt;"")*($K$7:$K$606=$K184)*($H$7:$H$606=$H184)*(ROW($A$7:$A$606)&lt;&gt;184)*($L$7:$L$606&lt;=$M184)*($M$7:$M$606&gt;=$L184))&gt;0,"⚠ Çakışma","OK")))</f>
        <v/>
      </c>
      <c r="Q184" s="28" t="str">
        <f aca="false">IF($A184="","",IF(OR($E184="",$H184="",$L184=""),"",IF(SUMPRODUCT(($A$7:$A$606&lt;&gt;"")*($E$7:$E$606=$E184)*($H$7:$H$606=$H184)*(ROW($A$7:$A$606)&lt;&gt;184)*($L$7:$L$606&lt;=$M184)*($M$7:$M$606&gt;=$L184))&gt;0,"⚠ Çakışma","OK")))</f>
        <v/>
      </c>
      <c r="R184" s="28" t="str">
        <f aca="false">IF($A184="","",IF(OR($N184&lt;&gt;"",$O184="⚠ Çakışma",$P184="⚠ Çakışma",$Q184="⚠ Çakışma"),"⚠ Kontrol Et","✓ Uygun"))</f>
        <v/>
      </c>
    </row>
    <row r="185" customFormat="false" ht="13.5" hidden="false" customHeight="true" outlineLevel="0" collapsed="false">
      <c r="A185" s="28" t="str">
        <f aca="false">IF('1-Turizm Rehberliği'!A182="","","Turizm Rehberliği")</f>
        <v/>
      </c>
      <c r="B185" s="28" t="str">
        <f aca="false">IF($A185="","",IF('1-Turizm Rehberliği'!A182="","",'1-Turizm Rehberliği'!A182))</f>
        <v/>
      </c>
      <c r="C185" s="29" t="str">
        <f aca="false">IF($A185="","",IF('1-Turizm Rehberliği'!B182="","",'1-Turizm Rehberliği'!B182))</f>
        <v/>
      </c>
      <c r="D185" s="28" t="str">
        <f aca="false">IF($A185="","",IF('1-Turizm Rehberliği'!C182="","",'1-Turizm Rehberliği'!C182))</f>
        <v/>
      </c>
      <c r="E185" s="28" t="str">
        <f aca="false">IF($A185="","",$A185&amp;"-"&amp;$D185)</f>
        <v/>
      </c>
      <c r="F185" s="28" t="str">
        <f aca="false">IF($A185="","",IF('1-Turizm Rehberliği'!D182="","",'1-Turizm Rehberliği'!D182))</f>
        <v/>
      </c>
      <c r="G185" s="28" t="str">
        <f aca="false">IF($A185="","",IF('1-Turizm Rehberliği'!E182="","",'1-Turizm Rehberliği'!E182))</f>
        <v/>
      </c>
      <c r="H185" s="28" t="str">
        <f aca="false">IF($A185="","",IF('1-Turizm Rehberliği'!F182="","",'1-Turizm Rehberliği'!F182))</f>
        <v/>
      </c>
      <c r="I185" s="28" t="str">
        <f aca="false">IF($A185="","",IF('1-Turizm Rehberliği'!G182="","",'1-Turizm Rehberliği'!G182))</f>
        <v/>
      </c>
      <c r="J185" s="28" t="str">
        <f aca="false">IF($A185="","",IF('1-Turizm Rehberliği'!H182="","",'1-Turizm Rehberliği'!H182))</f>
        <v/>
      </c>
      <c r="K185" s="28" t="str">
        <f aca="false">IF($A185="","",IF('1-Turizm Rehberliği'!I182="","",'1-Turizm Rehberliği'!I182))</f>
        <v/>
      </c>
      <c r="L185" s="28" t="str">
        <f aca="false">IF($I185="","",MATCH($I185,{"08.00";"09.00";"10.00";"11.00";"12.00";"13.00";"14.00";"15.00";"16.00";"17.00"},0))</f>
        <v/>
      </c>
      <c r="M185" s="28" t="str">
        <f aca="false">IF(OR($L185="",$J185=""),"",$L185+$J185-1)</f>
        <v/>
      </c>
      <c r="N185" s="28" t="str">
        <f aca="false">IF($A185="","",IF(OR($L185="",$M185=""),"",IF($M185&gt;10,"⚠ Saat Taşıyor","")))</f>
        <v/>
      </c>
      <c r="O185" s="28" t="str">
        <f aca="false">IF($A185="","",IF(OR($G185="",$H185="",$L185=""),"",IF(SUMPRODUCT(($A$7:$A$606&lt;&gt;"")*($G$7:$G$606=$G185)*($H$7:$H$606=$H185)*(ROW($A$7:$A$606)&lt;&gt;185)*($L$7:$L$606&lt;=$M185)*($M$7:$M$606&gt;=$L185))&gt;0,"⚠ Çakışma","OK")))</f>
        <v/>
      </c>
      <c r="P185" s="28" t="str">
        <f aca="false">IF($A185="","",IF(OR($K185="",$H185="",$L185=""),"",IF(SUMPRODUCT(($A$7:$A$606&lt;&gt;"")*($K$7:$K$606=$K185)*($H$7:$H$606=$H185)*(ROW($A$7:$A$606)&lt;&gt;185)*($L$7:$L$606&lt;=$M185)*($M$7:$M$606&gt;=$L185))&gt;0,"⚠ Çakışma","OK")))</f>
        <v/>
      </c>
      <c r="Q185" s="28" t="str">
        <f aca="false">IF($A185="","",IF(OR($E185="",$H185="",$L185=""),"",IF(SUMPRODUCT(($A$7:$A$606&lt;&gt;"")*($E$7:$E$606=$E185)*($H$7:$H$606=$H185)*(ROW($A$7:$A$606)&lt;&gt;185)*($L$7:$L$606&lt;=$M185)*($M$7:$M$606&gt;=$L185))&gt;0,"⚠ Çakışma","OK")))</f>
        <v/>
      </c>
      <c r="R185" s="28" t="str">
        <f aca="false">IF($A185="","",IF(OR($N185&lt;&gt;"",$O185="⚠ Çakışma",$P185="⚠ Çakışma",$Q185="⚠ Çakışma"),"⚠ Kontrol Et","✓ Uygun"))</f>
        <v/>
      </c>
    </row>
    <row r="186" customFormat="false" ht="13.5" hidden="false" customHeight="true" outlineLevel="0" collapsed="false">
      <c r="A186" s="28" t="str">
        <f aca="false">IF('1-Turizm Rehberliği'!A183="","","Turizm Rehberliği")</f>
        <v/>
      </c>
      <c r="B186" s="28" t="str">
        <f aca="false">IF($A186="","",IF('1-Turizm Rehberliği'!A183="","",'1-Turizm Rehberliği'!A183))</f>
        <v/>
      </c>
      <c r="C186" s="29" t="str">
        <f aca="false">IF($A186="","",IF('1-Turizm Rehberliği'!B183="","",'1-Turizm Rehberliği'!B183))</f>
        <v/>
      </c>
      <c r="D186" s="28" t="str">
        <f aca="false">IF($A186="","",IF('1-Turizm Rehberliği'!C183="","",'1-Turizm Rehberliği'!C183))</f>
        <v/>
      </c>
      <c r="E186" s="28" t="str">
        <f aca="false">IF($A186="","",$A186&amp;"-"&amp;$D186)</f>
        <v/>
      </c>
      <c r="F186" s="28" t="str">
        <f aca="false">IF($A186="","",IF('1-Turizm Rehberliği'!D183="","",'1-Turizm Rehberliği'!D183))</f>
        <v/>
      </c>
      <c r="G186" s="28" t="str">
        <f aca="false">IF($A186="","",IF('1-Turizm Rehberliği'!E183="","",'1-Turizm Rehberliği'!E183))</f>
        <v/>
      </c>
      <c r="H186" s="28" t="str">
        <f aca="false">IF($A186="","",IF('1-Turizm Rehberliği'!F183="","",'1-Turizm Rehberliği'!F183))</f>
        <v/>
      </c>
      <c r="I186" s="28" t="str">
        <f aca="false">IF($A186="","",IF('1-Turizm Rehberliği'!G183="","",'1-Turizm Rehberliği'!G183))</f>
        <v/>
      </c>
      <c r="J186" s="28" t="str">
        <f aca="false">IF($A186="","",IF('1-Turizm Rehberliği'!H183="","",'1-Turizm Rehberliği'!H183))</f>
        <v/>
      </c>
      <c r="K186" s="28" t="str">
        <f aca="false">IF($A186="","",IF('1-Turizm Rehberliği'!I183="","",'1-Turizm Rehberliği'!I183))</f>
        <v/>
      </c>
      <c r="L186" s="28" t="str">
        <f aca="false">IF($I186="","",MATCH($I186,{"08.00";"09.00";"10.00";"11.00";"12.00";"13.00";"14.00";"15.00";"16.00";"17.00"},0))</f>
        <v/>
      </c>
      <c r="M186" s="28" t="str">
        <f aca="false">IF(OR($L186="",$J186=""),"",$L186+$J186-1)</f>
        <v/>
      </c>
      <c r="N186" s="28" t="str">
        <f aca="false">IF($A186="","",IF(OR($L186="",$M186=""),"",IF($M186&gt;10,"⚠ Saat Taşıyor","")))</f>
        <v/>
      </c>
      <c r="O186" s="28" t="str">
        <f aca="false">IF($A186="","",IF(OR($G186="",$H186="",$L186=""),"",IF(SUMPRODUCT(($A$7:$A$606&lt;&gt;"")*($G$7:$G$606=$G186)*($H$7:$H$606=$H186)*(ROW($A$7:$A$606)&lt;&gt;186)*($L$7:$L$606&lt;=$M186)*($M$7:$M$606&gt;=$L186))&gt;0,"⚠ Çakışma","OK")))</f>
        <v/>
      </c>
      <c r="P186" s="28" t="str">
        <f aca="false">IF($A186="","",IF(OR($K186="",$H186="",$L186=""),"",IF(SUMPRODUCT(($A$7:$A$606&lt;&gt;"")*($K$7:$K$606=$K186)*($H$7:$H$606=$H186)*(ROW($A$7:$A$606)&lt;&gt;186)*($L$7:$L$606&lt;=$M186)*($M$7:$M$606&gt;=$L186))&gt;0,"⚠ Çakışma","OK")))</f>
        <v/>
      </c>
      <c r="Q186" s="28" t="str">
        <f aca="false">IF($A186="","",IF(OR($E186="",$H186="",$L186=""),"",IF(SUMPRODUCT(($A$7:$A$606&lt;&gt;"")*($E$7:$E$606=$E186)*($H$7:$H$606=$H186)*(ROW($A$7:$A$606)&lt;&gt;186)*($L$7:$L$606&lt;=$M186)*($M$7:$M$606&gt;=$L186))&gt;0,"⚠ Çakışma","OK")))</f>
        <v/>
      </c>
      <c r="R186" s="28" t="str">
        <f aca="false">IF($A186="","",IF(OR($N186&lt;&gt;"",$O186="⚠ Çakışma",$P186="⚠ Çakışma",$Q186="⚠ Çakışma"),"⚠ Kontrol Et","✓ Uygun"))</f>
        <v/>
      </c>
    </row>
    <row r="187" customFormat="false" ht="13.5" hidden="false" customHeight="true" outlineLevel="0" collapsed="false">
      <c r="A187" s="28" t="str">
        <f aca="false">IF('1-Turizm Rehberliği'!A184="","","Turizm Rehberliği")</f>
        <v/>
      </c>
      <c r="B187" s="28" t="str">
        <f aca="false">IF($A187="","",IF('1-Turizm Rehberliği'!A184="","",'1-Turizm Rehberliği'!A184))</f>
        <v/>
      </c>
      <c r="C187" s="29" t="str">
        <f aca="false">IF($A187="","",IF('1-Turizm Rehberliği'!B184="","",'1-Turizm Rehberliği'!B184))</f>
        <v/>
      </c>
      <c r="D187" s="28" t="str">
        <f aca="false">IF($A187="","",IF('1-Turizm Rehberliği'!C184="","",'1-Turizm Rehberliği'!C184))</f>
        <v/>
      </c>
      <c r="E187" s="28" t="str">
        <f aca="false">IF($A187="","",$A187&amp;"-"&amp;$D187)</f>
        <v/>
      </c>
      <c r="F187" s="28" t="str">
        <f aca="false">IF($A187="","",IF('1-Turizm Rehberliği'!D184="","",'1-Turizm Rehberliği'!D184))</f>
        <v/>
      </c>
      <c r="G187" s="28" t="str">
        <f aca="false">IF($A187="","",IF('1-Turizm Rehberliği'!E184="","",'1-Turizm Rehberliği'!E184))</f>
        <v/>
      </c>
      <c r="H187" s="28" t="str">
        <f aca="false">IF($A187="","",IF('1-Turizm Rehberliği'!F184="","",'1-Turizm Rehberliği'!F184))</f>
        <v/>
      </c>
      <c r="I187" s="28" t="str">
        <f aca="false">IF($A187="","",IF('1-Turizm Rehberliği'!G184="","",'1-Turizm Rehberliği'!G184))</f>
        <v/>
      </c>
      <c r="J187" s="28" t="str">
        <f aca="false">IF($A187="","",IF('1-Turizm Rehberliği'!H184="","",'1-Turizm Rehberliği'!H184))</f>
        <v/>
      </c>
      <c r="K187" s="28" t="str">
        <f aca="false">IF($A187="","",IF('1-Turizm Rehberliği'!I184="","",'1-Turizm Rehberliği'!I184))</f>
        <v/>
      </c>
      <c r="L187" s="28" t="str">
        <f aca="false">IF($I187="","",MATCH($I187,{"08.00";"09.00";"10.00";"11.00";"12.00";"13.00";"14.00";"15.00";"16.00";"17.00"},0))</f>
        <v/>
      </c>
      <c r="M187" s="28" t="str">
        <f aca="false">IF(OR($L187="",$J187=""),"",$L187+$J187-1)</f>
        <v/>
      </c>
      <c r="N187" s="28" t="str">
        <f aca="false">IF($A187="","",IF(OR($L187="",$M187=""),"",IF($M187&gt;10,"⚠ Saat Taşıyor","")))</f>
        <v/>
      </c>
      <c r="O187" s="28" t="str">
        <f aca="false">IF($A187="","",IF(OR($G187="",$H187="",$L187=""),"",IF(SUMPRODUCT(($A$7:$A$606&lt;&gt;"")*($G$7:$G$606=$G187)*($H$7:$H$606=$H187)*(ROW($A$7:$A$606)&lt;&gt;187)*($L$7:$L$606&lt;=$M187)*($M$7:$M$606&gt;=$L187))&gt;0,"⚠ Çakışma","OK")))</f>
        <v/>
      </c>
      <c r="P187" s="28" t="str">
        <f aca="false">IF($A187="","",IF(OR($K187="",$H187="",$L187=""),"",IF(SUMPRODUCT(($A$7:$A$606&lt;&gt;"")*($K$7:$K$606=$K187)*($H$7:$H$606=$H187)*(ROW($A$7:$A$606)&lt;&gt;187)*($L$7:$L$606&lt;=$M187)*($M$7:$M$606&gt;=$L187))&gt;0,"⚠ Çakışma","OK")))</f>
        <v/>
      </c>
      <c r="Q187" s="28" t="str">
        <f aca="false">IF($A187="","",IF(OR($E187="",$H187="",$L187=""),"",IF(SUMPRODUCT(($A$7:$A$606&lt;&gt;"")*($E$7:$E$606=$E187)*($H$7:$H$606=$H187)*(ROW($A$7:$A$606)&lt;&gt;187)*($L$7:$L$606&lt;=$M187)*($M$7:$M$606&gt;=$L187))&gt;0,"⚠ Çakışma","OK")))</f>
        <v/>
      </c>
      <c r="R187" s="28" t="str">
        <f aca="false">IF($A187="","",IF(OR($N187&lt;&gt;"",$O187="⚠ Çakışma",$P187="⚠ Çakışma",$Q187="⚠ Çakışma"),"⚠ Kontrol Et","✓ Uygun"))</f>
        <v/>
      </c>
    </row>
    <row r="188" customFormat="false" ht="13.5" hidden="false" customHeight="true" outlineLevel="0" collapsed="false">
      <c r="A188" s="28" t="str">
        <f aca="false">IF('1-Turizm Rehberliği'!A185="","","Turizm Rehberliği")</f>
        <v/>
      </c>
      <c r="B188" s="28" t="str">
        <f aca="false">IF($A188="","",IF('1-Turizm Rehberliği'!A185="","",'1-Turizm Rehberliği'!A185))</f>
        <v/>
      </c>
      <c r="C188" s="29" t="str">
        <f aca="false">IF($A188="","",IF('1-Turizm Rehberliği'!B185="","",'1-Turizm Rehberliği'!B185))</f>
        <v/>
      </c>
      <c r="D188" s="28" t="str">
        <f aca="false">IF($A188="","",IF('1-Turizm Rehberliği'!C185="","",'1-Turizm Rehberliği'!C185))</f>
        <v/>
      </c>
      <c r="E188" s="28" t="str">
        <f aca="false">IF($A188="","",$A188&amp;"-"&amp;$D188)</f>
        <v/>
      </c>
      <c r="F188" s="28" t="str">
        <f aca="false">IF($A188="","",IF('1-Turizm Rehberliği'!D185="","",'1-Turizm Rehberliği'!D185))</f>
        <v/>
      </c>
      <c r="G188" s="28" t="str">
        <f aca="false">IF($A188="","",IF('1-Turizm Rehberliği'!E185="","",'1-Turizm Rehberliği'!E185))</f>
        <v/>
      </c>
      <c r="H188" s="28" t="str">
        <f aca="false">IF($A188="","",IF('1-Turizm Rehberliği'!F185="","",'1-Turizm Rehberliği'!F185))</f>
        <v/>
      </c>
      <c r="I188" s="28" t="str">
        <f aca="false">IF($A188="","",IF('1-Turizm Rehberliği'!G185="","",'1-Turizm Rehberliği'!G185))</f>
        <v/>
      </c>
      <c r="J188" s="28" t="str">
        <f aca="false">IF($A188="","",IF('1-Turizm Rehberliği'!H185="","",'1-Turizm Rehberliği'!H185))</f>
        <v/>
      </c>
      <c r="K188" s="28" t="str">
        <f aca="false">IF($A188="","",IF('1-Turizm Rehberliği'!I185="","",'1-Turizm Rehberliği'!I185))</f>
        <v/>
      </c>
      <c r="L188" s="28" t="str">
        <f aca="false">IF($I188="","",MATCH($I188,{"08.00";"09.00";"10.00";"11.00";"12.00";"13.00";"14.00";"15.00";"16.00";"17.00"},0))</f>
        <v/>
      </c>
      <c r="M188" s="28" t="str">
        <f aca="false">IF(OR($L188="",$J188=""),"",$L188+$J188-1)</f>
        <v/>
      </c>
      <c r="N188" s="28" t="str">
        <f aca="false">IF($A188="","",IF(OR($L188="",$M188=""),"",IF($M188&gt;10,"⚠ Saat Taşıyor","")))</f>
        <v/>
      </c>
      <c r="O188" s="28" t="str">
        <f aca="false">IF($A188="","",IF(OR($G188="",$H188="",$L188=""),"",IF(SUMPRODUCT(($A$7:$A$606&lt;&gt;"")*($G$7:$G$606=$G188)*($H$7:$H$606=$H188)*(ROW($A$7:$A$606)&lt;&gt;188)*($L$7:$L$606&lt;=$M188)*($M$7:$M$606&gt;=$L188))&gt;0,"⚠ Çakışma","OK")))</f>
        <v/>
      </c>
      <c r="P188" s="28" t="str">
        <f aca="false">IF($A188="","",IF(OR($K188="",$H188="",$L188=""),"",IF(SUMPRODUCT(($A$7:$A$606&lt;&gt;"")*($K$7:$K$606=$K188)*($H$7:$H$606=$H188)*(ROW($A$7:$A$606)&lt;&gt;188)*($L$7:$L$606&lt;=$M188)*($M$7:$M$606&gt;=$L188))&gt;0,"⚠ Çakışma","OK")))</f>
        <v/>
      </c>
      <c r="Q188" s="28" t="str">
        <f aca="false">IF($A188="","",IF(OR($E188="",$H188="",$L188=""),"",IF(SUMPRODUCT(($A$7:$A$606&lt;&gt;"")*($E$7:$E$606=$E188)*($H$7:$H$606=$H188)*(ROW($A$7:$A$606)&lt;&gt;188)*($L$7:$L$606&lt;=$M188)*($M$7:$M$606&gt;=$L188))&gt;0,"⚠ Çakışma","OK")))</f>
        <v/>
      </c>
      <c r="R188" s="28" t="str">
        <f aca="false">IF($A188="","",IF(OR($N188&lt;&gt;"",$O188="⚠ Çakışma",$P188="⚠ Çakışma",$Q188="⚠ Çakışma"),"⚠ Kontrol Et","✓ Uygun"))</f>
        <v/>
      </c>
    </row>
    <row r="189" customFormat="false" ht="13.5" hidden="false" customHeight="true" outlineLevel="0" collapsed="false">
      <c r="A189" s="28" t="str">
        <f aca="false">IF('1-Turizm Rehberliği'!A186="","","Turizm Rehberliği")</f>
        <v/>
      </c>
      <c r="B189" s="28" t="str">
        <f aca="false">IF($A189="","",IF('1-Turizm Rehberliği'!A186="","",'1-Turizm Rehberliği'!A186))</f>
        <v/>
      </c>
      <c r="C189" s="29" t="str">
        <f aca="false">IF($A189="","",IF('1-Turizm Rehberliği'!B186="","",'1-Turizm Rehberliği'!B186))</f>
        <v/>
      </c>
      <c r="D189" s="28" t="str">
        <f aca="false">IF($A189="","",IF('1-Turizm Rehberliği'!C186="","",'1-Turizm Rehberliği'!C186))</f>
        <v/>
      </c>
      <c r="E189" s="28" t="str">
        <f aca="false">IF($A189="","",$A189&amp;"-"&amp;$D189)</f>
        <v/>
      </c>
      <c r="F189" s="28" t="str">
        <f aca="false">IF($A189="","",IF('1-Turizm Rehberliği'!D186="","",'1-Turizm Rehberliği'!D186))</f>
        <v/>
      </c>
      <c r="G189" s="28" t="str">
        <f aca="false">IF($A189="","",IF('1-Turizm Rehberliği'!E186="","",'1-Turizm Rehberliği'!E186))</f>
        <v/>
      </c>
      <c r="H189" s="28" t="str">
        <f aca="false">IF($A189="","",IF('1-Turizm Rehberliği'!F186="","",'1-Turizm Rehberliği'!F186))</f>
        <v/>
      </c>
      <c r="I189" s="28" t="str">
        <f aca="false">IF($A189="","",IF('1-Turizm Rehberliği'!G186="","",'1-Turizm Rehberliği'!G186))</f>
        <v/>
      </c>
      <c r="J189" s="28" t="str">
        <f aca="false">IF($A189="","",IF('1-Turizm Rehberliği'!H186="","",'1-Turizm Rehberliği'!H186))</f>
        <v/>
      </c>
      <c r="K189" s="28" t="str">
        <f aca="false">IF($A189="","",IF('1-Turizm Rehberliği'!I186="","",'1-Turizm Rehberliği'!I186))</f>
        <v/>
      </c>
      <c r="L189" s="28" t="str">
        <f aca="false">IF($I189="","",MATCH($I189,{"08.00";"09.00";"10.00";"11.00";"12.00";"13.00";"14.00";"15.00";"16.00";"17.00"},0))</f>
        <v/>
      </c>
      <c r="M189" s="28" t="str">
        <f aca="false">IF(OR($L189="",$J189=""),"",$L189+$J189-1)</f>
        <v/>
      </c>
      <c r="N189" s="28" t="str">
        <f aca="false">IF($A189="","",IF(OR($L189="",$M189=""),"",IF($M189&gt;10,"⚠ Saat Taşıyor","")))</f>
        <v/>
      </c>
      <c r="O189" s="28" t="str">
        <f aca="false">IF($A189="","",IF(OR($G189="",$H189="",$L189=""),"",IF(SUMPRODUCT(($A$7:$A$606&lt;&gt;"")*($G$7:$G$606=$G189)*($H$7:$H$606=$H189)*(ROW($A$7:$A$606)&lt;&gt;189)*($L$7:$L$606&lt;=$M189)*($M$7:$M$606&gt;=$L189))&gt;0,"⚠ Çakışma","OK")))</f>
        <v/>
      </c>
      <c r="P189" s="28" t="str">
        <f aca="false">IF($A189="","",IF(OR($K189="",$H189="",$L189=""),"",IF(SUMPRODUCT(($A$7:$A$606&lt;&gt;"")*($K$7:$K$606=$K189)*($H$7:$H$606=$H189)*(ROW($A$7:$A$606)&lt;&gt;189)*($L$7:$L$606&lt;=$M189)*($M$7:$M$606&gt;=$L189))&gt;0,"⚠ Çakışma","OK")))</f>
        <v/>
      </c>
      <c r="Q189" s="28" t="str">
        <f aca="false">IF($A189="","",IF(OR($E189="",$H189="",$L189=""),"",IF(SUMPRODUCT(($A$7:$A$606&lt;&gt;"")*($E$7:$E$606=$E189)*($H$7:$H$606=$H189)*(ROW($A$7:$A$606)&lt;&gt;189)*($L$7:$L$606&lt;=$M189)*($M$7:$M$606&gt;=$L189))&gt;0,"⚠ Çakışma","OK")))</f>
        <v/>
      </c>
      <c r="R189" s="28" t="str">
        <f aca="false">IF($A189="","",IF(OR($N189&lt;&gt;"",$O189="⚠ Çakışma",$P189="⚠ Çakışma",$Q189="⚠ Çakışma"),"⚠ Kontrol Et","✓ Uygun"))</f>
        <v/>
      </c>
    </row>
    <row r="190" customFormat="false" ht="13.5" hidden="false" customHeight="true" outlineLevel="0" collapsed="false">
      <c r="A190" s="28" t="str">
        <f aca="false">IF('1-Turizm Rehberliği'!A187="","","Turizm Rehberliği")</f>
        <v/>
      </c>
      <c r="B190" s="28" t="str">
        <f aca="false">IF($A190="","",IF('1-Turizm Rehberliği'!A187="","",'1-Turizm Rehberliği'!A187))</f>
        <v/>
      </c>
      <c r="C190" s="29" t="str">
        <f aca="false">IF($A190="","",IF('1-Turizm Rehberliği'!B187="","",'1-Turizm Rehberliği'!B187))</f>
        <v/>
      </c>
      <c r="D190" s="28" t="str">
        <f aca="false">IF($A190="","",IF('1-Turizm Rehberliği'!C187="","",'1-Turizm Rehberliği'!C187))</f>
        <v/>
      </c>
      <c r="E190" s="28" t="str">
        <f aca="false">IF($A190="","",$A190&amp;"-"&amp;$D190)</f>
        <v/>
      </c>
      <c r="F190" s="28" t="str">
        <f aca="false">IF($A190="","",IF('1-Turizm Rehberliği'!D187="","",'1-Turizm Rehberliği'!D187))</f>
        <v/>
      </c>
      <c r="G190" s="28" t="str">
        <f aca="false">IF($A190="","",IF('1-Turizm Rehberliği'!E187="","",'1-Turizm Rehberliği'!E187))</f>
        <v/>
      </c>
      <c r="H190" s="28" t="str">
        <f aca="false">IF($A190="","",IF('1-Turizm Rehberliği'!F187="","",'1-Turizm Rehberliği'!F187))</f>
        <v/>
      </c>
      <c r="I190" s="28" t="str">
        <f aca="false">IF($A190="","",IF('1-Turizm Rehberliği'!G187="","",'1-Turizm Rehberliği'!G187))</f>
        <v/>
      </c>
      <c r="J190" s="28" t="str">
        <f aca="false">IF($A190="","",IF('1-Turizm Rehberliği'!H187="","",'1-Turizm Rehberliği'!H187))</f>
        <v/>
      </c>
      <c r="K190" s="28" t="str">
        <f aca="false">IF($A190="","",IF('1-Turizm Rehberliği'!I187="","",'1-Turizm Rehberliği'!I187))</f>
        <v/>
      </c>
      <c r="L190" s="28" t="str">
        <f aca="false">IF($I190="","",MATCH($I190,{"08.00";"09.00";"10.00";"11.00";"12.00";"13.00";"14.00";"15.00";"16.00";"17.00"},0))</f>
        <v/>
      </c>
      <c r="M190" s="28" t="str">
        <f aca="false">IF(OR($L190="",$J190=""),"",$L190+$J190-1)</f>
        <v/>
      </c>
      <c r="N190" s="28" t="str">
        <f aca="false">IF($A190="","",IF(OR($L190="",$M190=""),"",IF($M190&gt;10,"⚠ Saat Taşıyor","")))</f>
        <v/>
      </c>
      <c r="O190" s="28" t="str">
        <f aca="false">IF($A190="","",IF(OR($G190="",$H190="",$L190=""),"",IF(SUMPRODUCT(($A$7:$A$606&lt;&gt;"")*($G$7:$G$606=$G190)*($H$7:$H$606=$H190)*(ROW($A$7:$A$606)&lt;&gt;190)*($L$7:$L$606&lt;=$M190)*($M$7:$M$606&gt;=$L190))&gt;0,"⚠ Çakışma","OK")))</f>
        <v/>
      </c>
      <c r="P190" s="28" t="str">
        <f aca="false">IF($A190="","",IF(OR($K190="",$H190="",$L190=""),"",IF(SUMPRODUCT(($A$7:$A$606&lt;&gt;"")*($K$7:$K$606=$K190)*($H$7:$H$606=$H190)*(ROW($A$7:$A$606)&lt;&gt;190)*($L$7:$L$606&lt;=$M190)*($M$7:$M$606&gt;=$L190))&gt;0,"⚠ Çakışma","OK")))</f>
        <v/>
      </c>
      <c r="Q190" s="28" t="str">
        <f aca="false">IF($A190="","",IF(OR($E190="",$H190="",$L190=""),"",IF(SUMPRODUCT(($A$7:$A$606&lt;&gt;"")*($E$7:$E$606=$E190)*($H$7:$H$606=$H190)*(ROW($A$7:$A$606)&lt;&gt;190)*($L$7:$L$606&lt;=$M190)*($M$7:$M$606&gt;=$L190))&gt;0,"⚠ Çakışma","OK")))</f>
        <v/>
      </c>
      <c r="R190" s="28" t="str">
        <f aca="false">IF($A190="","",IF(OR($N190&lt;&gt;"",$O190="⚠ Çakışma",$P190="⚠ Çakışma",$Q190="⚠ Çakışma"),"⚠ Kontrol Et","✓ Uygun"))</f>
        <v/>
      </c>
    </row>
    <row r="191" customFormat="false" ht="13.5" hidden="false" customHeight="true" outlineLevel="0" collapsed="false">
      <c r="A191" s="28" t="str">
        <f aca="false">IF('1-Turizm Rehberliği'!A188="","","Turizm Rehberliği")</f>
        <v/>
      </c>
      <c r="B191" s="28" t="str">
        <f aca="false">IF($A191="","",IF('1-Turizm Rehberliği'!A188="","",'1-Turizm Rehberliği'!A188))</f>
        <v/>
      </c>
      <c r="C191" s="29" t="str">
        <f aca="false">IF($A191="","",IF('1-Turizm Rehberliği'!B188="","",'1-Turizm Rehberliği'!B188))</f>
        <v/>
      </c>
      <c r="D191" s="28" t="str">
        <f aca="false">IF($A191="","",IF('1-Turizm Rehberliği'!C188="","",'1-Turizm Rehberliği'!C188))</f>
        <v/>
      </c>
      <c r="E191" s="28" t="str">
        <f aca="false">IF($A191="","",$A191&amp;"-"&amp;$D191)</f>
        <v/>
      </c>
      <c r="F191" s="28" t="str">
        <f aca="false">IF($A191="","",IF('1-Turizm Rehberliği'!D188="","",'1-Turizm Rehberliği'!D188))</f>
        <v/>
      </c>
      <c r="G191" s="28" t="str">
        <f aca="false">IF($A191="","",IF('1-Turizm Rehberliği'!E188="","",'1-Turizm Rehberliği'!E188))</f>
        <v/>
      </c>
      <c r="H191" s="28" t="str">
        <f aca="false">IF($A191="","",IF('1-Turizm Rehberliği'!F188="","",'1-Turizm Rehberliği'!F188))</f>
        <v/>
      </c>
      <c r="I191" s="28" t="str">
        <f aca="false">IF($A191="","",IF('1-Turizm Rehberliği'!G188="","",'1-Turizm Rehberliği'!G188))</f>
        <v/>
      </c>
      <c r="J191" s="28" t="str">
        <f aca="false">IF($A191="","",IF('1-Turizm Rehberliği'!H188="","",'1-Turizm Rehberliği'!H188))</f>
        <v/>
      </c>
      <c r="K191" s="28" t="str">
        <f aca="false">IF($A191="","",IF('1-Turizm Rehberliği'!I188="","",'1-Turizm Rehberliği'!I188))</f>
        <v/>
      </c>
      <c r="L191" s="28" t="str">
        <f aca="false">IF($I191="","",MATCH($I191,{"08.00";"09.00";"10.00";"11.00";"12.00";"13.00";"14.00";"15.00";"16.00";"17.00"},0))</f>
        <v/>
      </c>
      <c r="M191" s="28" t="str">
        <f aca="false">IF(OR($L191="",$J191=""),"",$L191+$J191-1)</f>
        <v/>
      </c>
      <c r="N191" s="28" t="str">
        <f aca="false">IF($A191="","",IF(OR($L191="",$M191=""),"",IF($M191&gt;10,"⚠ Saat Taşıyor","")))</f>
        <v/>
      </c>
      <c r="O191" s="28" t="str">
        <f aca="false">IF($A191="","",IF(OR($G191="",$H191="",$L191=""),"",IF(SUMPRODUCT(($A$7:$A$606&lt;&gt;"")*($G$7:$G$606=$G191)*($H$7:$H$606=$H191)*(ROW($A$7:$A$606)&lt;&gt;191)*($L$7:$L$606&lt;=$M191)*($M$7:$M$606&gt;=$L191))&gt;0,"⚠ Çakışma","OK")))</f>
        <v/>
      </c>
      <c r="P191" s="28" t="str">
        <f aca="false">IF($A191="","",IF(OR($K191="",$H191="",$L191=""),"",IF(SUMPRODUCT(($A$7:$A$606&lt;&gt;"")*($K$7:$K$606=$K191)*($H$7:$H$606=$H191)*(ROW($A$7:$A$606)&lt;&gt;191)*($L$7:$L$606&lt;=$M191)*($M$7:$M$606&gt;=$L191))&gt;0,"⚠ Çakışma","OK")))</f>
        <v/>
      </c>
      <c r="Q191" s="28" t="str">
        <f aca="false">IF($A191="","",IF(OR($E191="",$H191="",$L191=""),"",IF(SUMPRODUCT(($A$7:$A$606&lt;&gt;"")*($E$7:$E$606=$E191)*($H$7:$H$606=$H191)*(ROW($A$7:$A$606)&lt;&gt;191)*($L$7:$L$606&lt;=$M191)*($M$7:$M$606&gt;=$L191))&gt;0,"⚠ Çakışma","OK")))</f>
        <v/>
      </c>
      <c r="R191" s="28" t="str">
        <f aca="false">IF($A191="","",IF(OR($N191&lt;&gt;"",$O191="⚠ Çakışma",$P191="⚠ Çakışma",$Q191="⚠ Çakışma"),"⚠ Kontrol Et","✓ Uygun"))</f>
        <v/>
      </c>
    </row>
    <row r="192" customFormat="false" ht="13.5" hidden="false" customHeight="true" outlineLevel="0" collapsed="false">
      <c r="A192" s="28" t="str">
        <f aca="false">IF('1-Turizm Rehberliği'!A189="","","Turizm Rehberliği")</f>
        <v/>
      </c>
      <c r="B192" s="28" t="str">
        <f aca="false">IF($A192="","",IF('1-Turizm Rehberliği'!A189="","",'1-Turizm Rehberliği'!A189))</f>
        <v/>
      </c>
      <c r="C192" s="29" t="str">
        <f aca="false">IF($A192="","",IF('1-Turizm Rehberliği'!B189="","",'1-Turizm Rehberliği'!B189))</f>
        <v/>
      </c>
      <c r="D192" s="28" t="str">
        <f aca="false">IF($A192="","",IF('1-Turizm Rehberliği'!C189="","",'1-Turizm Rehberliği'!C189))</f>
        <v/>
      </c>
      <c r="E192" s="28" t="str">
        <f aca="false">IF($A192="","",$A192&amp;"-"&amp;$D192)</f>
        <v/>
      </c>
      <c r="F192" s="28" t="str">
        <f aca="false">IF($A192="","",IF('1-Turizm Rehberliği'!D189="","",'1-Turizm Rehberliği'!D189))</f>
        <v/>
      </c>
      <c r="G192" s="28" t="str">
        <f aca="false">IF($A192="","",IF('1-Turizm Rehberliği'!E189="","",'1-Turizm Rehberliği'!E189))</f>
        <v/>
      </c>
      <c r="H192" s="28" t="str">
        <f aca="false">IF($A192="","",IF('1-Turizm Rehberliği'!F189="","",'1-Turizm Rehberliği'!F189))</f>
        <v/>
      </c>
      <c r="I192" s="28" t="str">
        <f aca="false">IF($A192="","",IF('1-Turizm Rehberliği'!G189="","",'1-Turizm Rehberliği'!G189))</f>
        <v/>
      </c>
      <c r="J192" s="28" t="str">
        <f aca="false">IF($A192="","",IF('1-Turizm Rehberliği'!H189="","",'1-Turizm Rehberliği'!H189))</f>
        <v/>
      </c>
      <c r="K192" s="28" t="str">
        <f aca="false">IF($A192="","",IF('1-Turizm Rehberliği'!I189="","",'1-Turizm Rehberliği'!I189))</f>
        <v/>
      </c>
      <c r="L192" s="28" t="str">
        <f aca="false">IF($I192="","",MATCH($I192,{"08.00";"09.00";"10.00";"11.00";"12.00";"13.00";"14.00";"15.00";"16.00";"17.00"},0))</f>
        <v/>
      </c>
      <c r="M192" s="28" t="str">
        <f aca="false">IF(OR($L192="",$J192=""),"",$L192+$J192-1)</f>
        <v/>
      </c>
      <c r="N192" s="28" t="str">
        <f aca="false">IF($A192="","",IF(OR($L192="",$M192=""),"",IF($M192&gt;10,"⚠ Saat Taşıyor","")))</f>
        <v/>
      </c>
      <c r="O192" s="28" t="str">
        <f aca="false">IF($A192="","",IF(OR($G192="",$H192="",$L192=""),"",IF(SUMPRODUCT(($A$7:$A$606&lt;&gt;"")*($G$7:$G$606=$G192)*($H$7:$H$606=$H192)*(ROW($A$7:$A$606)&lt;&gt;192)*($L$7:$L$606&lt;=$M192)*($M$7:$M$606&gt;=$L192))&gt;0,"⚠ Çakışma","OK")))</f>
        <v/>
      </c>
      <c r="P192" s="28" t="str">
        <f aca="false">IF($A192="","",IF(OR($K192="",$H192="",$L192=""),"",IF(SUMPRODUCT(($A$7:$A$606&lt;&gt;"")*($K$7:$K$606=$K192)*($H$7:$H$606=$H192)*(ROW($A$7:$A$606)&lt;&gt;192)*($L$7:$L$606&lt;=$M192)*($M$7:$M$606&gt;=$L192))&gt;0,"⚠ Çakışma","OK")))</f>
        <v/>
      </c>
      <c r="Q192" s="28" t="str">
        <f aca="false">IF($A192="","",IF(OR($E192="",$H192="",$L192=""),"",IF(SUMPRODUCT(($A$7:$A$606&lt;&gt;"")*($E$7:$E$606=$E192)*($H$7:$H$606=$H192)*(ROW($A$7:$A$606)&lt;&gt;192)*($L$7:$L$606&lt;=$M192)*($M$7:$M$606&gt;=$L192))&gt;0,"⚠ Çakışma","OK")))</f>
        <v/>
      </c>
      <c r="R192" s="28" t="str">
        <f aca="false">IF($A192="","",IF(OR($N192&lt;&gt;"",$O192="⚠ Çakışma",$P192="⚠ Çakışma",$Q192="⚠ Çakışma"),"⚠ Kontrol Et","✓ Uygun"))</f>
        <v/>
      </c>
    </row>
    <row r="193" customFormat="false" ht="13.5" hidden="false" customHeight="true" outlineLevel="0" collapsed="false">
      <c r="A193" s="28" t="str">
        <f aca="false">IF('1-Turizm Rehberliği'!A190="","","Turizm Rehberliği")</f>
        <v/>
      </c>
      <c r="B193" s="28" t="str">
        <f aca="false">IF($A193="","",IF('1-Turizm Rehberliği'!A190="","",'1-Turizm Rehberliği'!A190))</f>
        <v/>
      </c>
      <c r="C193" s="29" t="str">
        <f aca="false">IF($A193="","",IF('1-Turizm Rehberliği'!B190="","",'1-Turizm Rehberliği'!B190))</f>
        <v/>
      </c>
      <c r="D193" s="28" t="str">
        <f aca="false">IF($A193="","",IF('1-Turizm Rehberliği'!C190="","",'1-Turizm Rehberliği'!C190))</f>
        <v/>
      </c>
      <c r="E193" s="28" t="str">
        <f aca="false">IF($A193="","",$A193&amp;"-"&amp;$D193)</f>
        <v/>
      </c>
      <c r="F193" s="28" t="str">
        <f aca="false">IF($A193="","",IF('1-Turizm Rehberliği'!D190="","",'1-Turizm Rehberliği'!D190))</f>
        <v/>
      </c>
      <c r="G193" s="28" t="str">
        <f aca="false">IF($A193="","",IF('1-Turizm Rehberliği'!E190="","",'1-Turizm Rehberliği'!E190))</f>
        <v/>
      </c>
      <c r="H193" s="28" t="str">
        <f aca="false">IF($A193="","",IF('1-Turizm Rehberliği'!F190="","",'1-Turizm Rehberliği'!F190))</f>
        <v/>
      </c>
      <c r="I193" s="28" t="str">
        <f aca="false">IF($A193="","",IF('1-Turizm Rehberliği'!G190="","",'1-Turizm Rehberliği'!G190))</f>
        <v/>
      </c>
      <c r="J193" s="28" t="str">
        <f aca="false">IF($A193="","",IF('1-Turizm Rehberliği'!H190="","",'1-Turizm Rehberliği'!H190))</f>
        <v/>
      </c>
      <c r="K193" s="28" t="str">
        <f aca="false">IF($A193="","",IF('1-Turizm Rehberliği'!I190="","",'1-Turizm Rehberliği'!I190))</f>
        <v/>
      </c>
      <c r="L193" s="28" t="str">
        <f aca="false">IF($I193="","",MATCH($I193,{"08.00";"09.00";"10.00";"11.00";"12.00";"13.00";"14.00";"15.00";"16.00";"17.00"},0))</f>
        <v/>
      </c>
      <c r="M193" s="28" t="str">
        <f aca="false">IF(OR($L193="",$J193=""),"",$L193+$J193-1)</f>
        <v/>
      </c>
      <c r="N193" s="28" t="str">
        <f aca="false">IF($A193="","",IF(OR($L193="",$M193=""),"",IF($M193&gt;10,"⚠ Saat Taşıyor","")))</f>
        <v/>
      </c>
      <c r="O193" s="28" t="str">
        <f aca="false">IF($A193="","",IF(OR($G193="",$H193="",$L193=""),"",IF(SUMPRODUCT(($A$7:$A$606&lt;&gt;"")*($G$7:$G$606=$G193)*($H$7:$H$606=$H193)*(ROW($A$7:$A$606)&lt;&gt;193)*($L$7:$L$606&lt;=$M193)*($M$7:$M$606&gt;=$L193))&gt;0,"⚠ Çakışma","OK")))</f>
        <v/>
      </c>
      <c r="P193" s="28" t="str">
        <f aca="false">IF($A193="","",IF(OR($K193="",$H193="",$L193=""),"",IF(SUMPRODUCT(($A$7:$A$606&lt;&gt;"")*($K$7:$K$606=$K193)*($H$7:$H$606=$H193)*(ROW($A$7:$A$606)&lt;&gt;193)*($L$7:$L$606&lt;=$M193)*($M$7:$M$606&gt;=$L193))&gt;0,"⚠ Çakışma","OK")))</f>
        <v/>
      </c>
      <c r="Q193" s="28" t="str">
        <f aca="false">IF($A193="","",IF(OR($E193="",$H193="",$L193=""),"",IF(SUMPRODUCT(($A$7:$A$606&lt;&gt;"")*($E$7:$E$606=$E193)*($H$7:$H$606=$H193)*(ROW($A$7:$A$606)&lt;&gt;193)*($L$7:$L$606&lt;=$M193)*($M$7:$M$606&gt;=$L193))&gt;0,"⚠ Çakışma","OK")))</f>
        <v/>
      </c>
      <c r="R193" s="28" t="str">
        <f aca="false">IF($A193="","",IF(OR($N193&lt;&gt;"",$O193="⚠ Çakışma",$P193="⚠ Çakışma",$Q193="⚠ Çakışma"),"⚠ Kontrol Et","✓ Uygun"))</f>
        <v/>
      </c>
    </row>
    <row r="194" customFormat="false" ht="13.5" hidden="false" customHeight="true" outlineLevel="0" collapsed="false">
      <c r="A194" s="28" t="str">
        <f aca="false">IF('1-Turizm Rehberliği'!A191="","","Turizm Rehberliği")</f>
        <v/>
      </c>
      <c r="B194" s="28" t="str">
        <f aca="false">IF($A194="","",IF('1-Turizm Rehberliği'!A191="","",'1-Turizm Rehberliği'!A191))</f>
        <v/>
      </c>
      <c r="C194" s="29" t="str">
        <f aca="false">IF($A194="","",IF('1-Turizm Rehberliği'!B191="","",'1-Turizm Rehberliği'!B191))</f>
        <v/>
      </c>
      <c r="D194" s="28" t="str">
        <f aca="false">IF($A194="","",IF('1-Turizm Rehberliği'!C191="","",'1-Turizm Rehberliği'!C191))</f>
        <v/>
      </c>
      <c r="E194" s="28" t="str">
        <f aca="false">IF($A194="","",$A194&amp;"-"&amp;$D194)</f>
        <v/>
      </c>
      <c r="F194" s="28" t="str">
        <f aca="false">IF($A194="","",IF('1-Turizm Rehberliği'!D191="","",'1-Turizm Rehberliği'!D191))</f>
        <v/>
      </c>
      <c r="G194" s="28" t="str">
        <f aca="false">IF($A194="","",IF('1-Turizm Rehberliği'!E191="","",'1-Turizm Rehberliği'!E191))</f>
        <v/>
      </c>
      <c r="H194" s="28" t="str">
        <f aca="false">IF($A194="","",IF('1-Turizm Rehberliği'!F191="","",'1-Turizm Rehberliği'!F191))</f>
        <v/>
      </c>
      <c r="I194" s="28" t="str">
        <f aca="false">IF($A194="","",IF('1-Turizm Rehberliği'!G191="","",'1-Turizm Rehberliği'!G191))</f>
        <v/>
      </c>
      <c r="J194" s="28" t="str">
        <f aca="false">IF($A194="","",IF('1-Turizm Rehberliği'!H191="","",'1-Turizm Rehberliği'!H191))</f>
        <v/>
      </c>
      <c r="K194" s="28" t="str">
        <f aca="false">IF($A194="","",IF('1-Turizm Rehberliği'!I191="","",'1-Turizm Rehberliği'!I191))</f>
        <v/>
      </c>
      <c r="L194" s="28" t="str">
        <f aca="false">IF($I194="","",MATCH($I194,{"08.00";"09.00";"10.00";"11.00";"12.00";"13.00";"14.00";"15.00";"16.00";"17.00"},0))</f>
        <v/>
      </c>
      <c r="M194" s="28" t="str">
        <f aca="false">IF(OR($L194="",$J194=""),"",$L194+$J194-1)</f>
        <v/>
      </c>
      <c r="N194" s="28" t="str">
        <f aca="false">IF($A194="","",IF(OR($L194="",$M194=""),"",IF($M194&gt;10,"⚠ Saat Taşıyor","")))</f>
        <v/>
      </c>
      <c r="O194" s="28" t="str">
        <f aca="false">IF($A194="","",IF(OR($G194="",$H194="",$L194=""),"",IF(SUMPRODUCT(($A$7:$A$606&lt;&gt;"")*($G$7:$G$606=$G194)*($H$7:$H$606=$H194)*(ROW($A$7:$A$606)&lt;&gt;194)*($L$7:$L$606&lt;=$M194)*($M$7:$M$606&gt;=$L194))&gt;0,"⚠ Çakışma","OK")))</f>
        <v/>
      </c>
      <c r="P194" s="28" t="str">
        <f aca="false">IF($A194="","",IF(OR($K194="",$H194="",$L194=""),"",IF(SUMPRODUCT(($A$7:$A$606&lt;&gt;"")*($K$7:$K$606=$K194)*($H$7:$H$606=$H194)*(ROW($A$7:$A$606)&lt;&gt;194)*($L$7:$L$606&lt;=$M194)*($M$7:$M$606&gt;=$L194))&gt;0,"⚠ Çakışma","OK")))</f>
        <v/>
      </c>
      <c r="Q194" s="28" t="str">
        <f aca="false">IF($A194="","",IF(OR($E194="",$H194="",$L194=""),"",IF(SUMPRODUCT(($A$7:$A$606&lt;&gt;"")*($E$7:$E$606=$E194)*($H$7:$H$606=$H194)*(ROW($A$7:$A$606)&lt;&gt;194)*($L$7:$L$606&lt;=$M194)*($M$7:$M$606&gt;=$L194))&gt;0,"⚠ Çakışma","OK")))</f>
        <v/>
      </c>
      <c r="R194" s="28" t="str">
        <f aca="false">IF($A194="","",IF(OR($N194&lt;&gt;"",$O194="⚠ Çakışma",$P194="⚠ Çakışma",$Q194="⚠ Çakışma"),"⚠ Kontrol Et","✓ Uygun"))</f>
        <v/>
      </c>
    </row>
    <row r="195" customFormat="false" ht="13.5" hidden="false" customHeight="true" outlineLevel="0" collapsed="false">
      <c r="A195" s="28" t="str">
        <f aca="false">IF('1-Turizm Rehberliği'!A192="","","Turizm Rehberliği")</f>
        <v/>
      </c>
      <c r="B195" s="28" t="str">
        <f aca="false">IF($A195="","",IF('1-Turizm Rehberliği'!A192="","",'1-Turizm Rehberliği'!A192))</f>
        <v/>
      </c>
      <c r="C195" s="29" t="str">
        <f aca="false">IF($A195="","",IF('1-Turizm Rehberliği'!B192="","",'1-Turizm Rehberliği'!B192))</f>
        <v/>
      </c>
      <c r="D195" s="28" t="str">
        <f aca="false">IF($A195="","",IF('1-Turizm Rehberliği'!C192="","",'1-Turizm Rehberliği'!C192))</f>
        <v/>
      </c>
      <c r="E195" s="28" t="str">
        <f aca="false">IF($A195="","",$A195&amp;"-"&amp;$D195)</f>
        <v/>
      </c>
      <c r="F195" s="28" t="str">
        <f aca="false">IF($A195="","",IF('1-Turizm Rehberliği'!D192="","",'1-Turizm Rehberliği'!D192))</f>
        <v/>
      </c>
      <c r="G195" s="28" t="str">
        <f aca="false">IF($A195="","",IF('1-Turizm Rehberliği'!E192="","",'1-Turizm Rehberliği'!E192))</f>
        <v/>
      </c>
      <c r="H195" s="28" t="str">
        <f aca="false">IF($A195="","",IF('1-Turizm Rehberliği'!F192="","",'1-Turizm Rehberliği'!F192))</f>
        <v/>
      </c>
      <c r="I195" s="28" t="str">
        <f aca="false">IF($A195="","",IF('1-Turizm Rehberliği'!G192="","",'1-Turizm Rehberliği'!G192))</f>
        <v/>
      </c>
      <c r="J195" s="28" t="str">
        <f aca="false">IF($A195="","",IF('1-Turizm Rehberliği'!H192="","",'1-Turizm Rehberliği'!H192))</f>
        <v/>
      </c>
      <c r="K195" s="28" t="str">
        <f aca="false">IF($A195="","",IF('1-Turizm Rehberliği'!I192="","",'1-Turizm Rehberliği'!I192))</f>
        <v/>
      </c>
      <c r="L195" s="28" t="str">
        <f aca="false">IF($I195="","",MATCH($I195,{"08.00";"09.00";"10.00";"11.00";"12.00";"13.00";"14.00";"15.00";"16.00";"17.00"},0))</f>
        <v/>
      </c>
      <c r="M195" s="28" t="str">
        <f aca="false">IF(OR($L195="",$J195=""),"",$L195+$J195-1)</f>
        <v/>
      </c>
      <c r="N195" s="28" t="str">
        <f aca="false">IF($A195="","",IF(OR($L195="",$M195=""),"",IF($M195&gt;10,"⚠ Saat Taşıyor","")))</f>
        <v/>
      </c>
      <c r="O195" s="28" t="str">
        <f aca="false">IF($A195="","",IF(OR($G195="",$H195="",$L195=""),"",IF(SUMPRODUCT(($A$7:$A$606&lt;&gt;"")*($G$7:$G$606=$G195)*($H$7:$H$606=$H195)*(ROW($A$7:$A$606)&lt;&gt;195)*($L$7:$L$606&lt;=$M195)*($M$7:$M$606&gt;=$L195))&gt;0,"⚠ Çakışma","OK")))</f>
        <v/>
      </c>
      <c r="P195" s="28" t="str">
        <f aca="false">IF($A195="","",IF(OR($K195="",$H195="",$L195=""),"",IF(SUMPRODUCT(($A$7:$A$606&lt;&gt;"")*($K$7:$K$606=$K195)*($H$7:$H$606=$H195)*(ROW($A$7:$A$606)&lt;&gt;195)*($L$7:$L$606&lt;=$M195)*($M$7:$M$606&gt;=$L195))&gt;0,"⚠ Çakışma","OK")))</f>
        <v/>
      </c>
      <c r="Q195" s="28" t="str">
        <f aca="false">IF($A195="","",IF(OR($E195="",$H195="",$L195=""),"",IF(SUMPRODUCT(($A$7:$A$606&lt;&gt;"")*($E$7:$E$606=$E195)*($H$7:$H$606=$H195)*(ROW($A$7:$A$606)&lt;&gt;195)*($L$7:$L$606&lt;=$M195)*($M$7:$M$606&gt;=$L195))&gt;0,"⚠ Çakışma","OK")))</f>
        <v/>
      </c>
      <c r="R195" s="28" t="str">
        <f aca="false">IF($A195="","",IF(OR($N195&lt;&gt;"",$O195="⚠ Çakışma",$P195="⚠ Çakışma",$Q195="⚠ Çakışma"),"⚠ Kontrol Et","✓ Uygun"))</f>
        <v/>
      </c>
    </row>
    <row r="196" customFormat="false" ht="13.5" hidden="false" customHeight="true" outlineLevel="0" collapsed="false">
      <c r="A196" s="28" t="str">
        <f aca="false">IF('1-Turizm Rehberliği'!A193="","","Turizm Rehberliği")</f>
        <v/>
      </c>
      <c r="B196" s="28" t="str">
        <f aca="false">IF($A196="","",IF('1-Turizm Rehberliği'!A193="","",'1-Turizm Rehberliği'!A193))</f>
        <v/>
      </c>
      <c r="C196" s="29" t="str">
        <f aca="false">IF($A196="","",IF('1-Turizm Rehberliği'!B193="","",'1-Turizm Rehberliği'!B193))</f>
        <v/>
      </c>
      <c r="D196" s="28" t="str">
        <f aca="false">IF($A196="","",IF('1-Turizm Rehberliği'!C193="","",'1-Turizm Rehberliği'!C193))</f>
        <v/>
      </c>
      <c r="E196" s="28" t="str">
        <f aca="false">IF($A196="","",$A196&amp;"-"&amp;$D196)</f>
        <v/>
      </c>
      <c r="F196" s="28" t="str">
        <f aca="false">IF($A196="","",IF('1-Turizm Rehberliği'!D193="","",'1-Turizm Rehberliği'!D193))</f>
        <v/>
      </c>
      <c r="G196" s="28" t="str">
        <f aca="false">IF($A196="","",IF('1-Turizm Rehberliği'!E193="","",'1-Turizm Rehberliği'!E193))</f>
        <v/>
      </c>
      <c r="H196" s="28" t="str">
        <f aca="false">IF($A196="","",IF('1-Turizm Rehberliği'!F193="","",'1-Turizm Rehberliği'!F193))</f>
        <v/>
      </c>
      <c r="I196" s="28" t="str">
        <f aca="false">IF($A196="","",IF('1-Turizm Rehberliği'!G193="","",'1-Turizm Rehberliği'!G193))</f>
        <v/>
      </c>
      <c r="J196" s="28" t="str">
        <f aca="false">IF($A196="","",IF('1-Turizm Rehberliği'!H193="","",'1-Turizm Rehberliği'!H193))</f>
        <v/>
      </c>
      <c r="K196" s="28" t="str">
        <f aca="false">IF($A196="","",IF('1-Turizm Rehberliği'!I193="","",'1-Turizm Rehberliği'!I193))</f>
        <v/>
      </c>
      <c r="L196" s="28" t="str">
        <f aca="false">IF($I196="","",MATCH($I196,{"08.00";"09.00";"10.00";"11.00";"12.00";"13.00";"14.00";"15.00";"16.00";"17.00"},0))</f>
        <v/>
      </c>
      <c r="M196" s="28" t="str">
        <f aca="false">IF(OR($L196="",$J196=""),"",$L196+$J196-1)</f>
        <v/>
      </c>
      <c r="N196" s="28" t="str">
        <f aca="false">IF($A196="","",IF(OR($L196="",$M196=""),"",IF($M196&gt;10,"⚠ Saat Taşıyor","")))</f>
        <v/>
      </c>
      <c r="O196" s="28" t="str">
        <f aca="false">IF($A196="","",IF(OR($G196="",$H196="",$L196=""),"",IF(SUMPRODUCT(($A$7:$A$606&lt;&gt;"")*($G$7:$G$606=$G196)*($H$7:$H$606=$H196)*(ROW($A$7:$A$606)&lt;&gt;196)*($L$7:$L$606&lt;=$M196)*($M$7:$M$606&gt;=$L196))&gt;0,"⚠ Çakışma","OK")))</f>
        <v/>
      </c>
      <c r="P196" s="28" t="str">
        <f aca="false">IF($A196="","",IF(OR($K196="",$H196="",$L196=""),"",IF(SUMPRODUCT(($A$7:$A$606&lt;&gt;"")*($K$7:$K$606=$K196)*($H$7:$H$606=$H196)*(ROW($A$7:$A$606)&lt;&gt;196)*($L$7:$L$606&lt;=$M196)*($M$7:$M$606&gt;=$L196))&gt;0,"⚠ Çakışma","OK")))</f>
        <v/>
      </c>
      <c r="Q196" s="28" t="str">
        <f aca="false">IF($A196="","",IF(OR($E196="",$H196="",$L196=""),"",IF(SUMPRODUCT(($A$7:$A$606&lt;&gt;"")*($E$7:$E$606=$E196)*($H$7:$H$606=$H196)*(ROW($A$7:$A$606)&lt;&gt;196)*($L$7:$L$606&lt;=$M196)*($M$7:$M$606&gt;=$L196))&gt;0,"⚠ Çakışma","OK")))</f>
        <v/>
      </c>
      <c r="R196" s="28" t="str">
        <f aca="false">IF($A196="","",IF(OR($N196&lt;&gt;"",$O196="⚠ Çakışma",$P196="⚠ Çakışma",$Q196="⚠ Çakışma"),"⚠ Kontrol Et","✓ Uygun"))</f>
        <v/>
      </c>
    </row>
    <row r="197" customFormat="false" ht="13.5" hidden="false" customHeight="true" outlineLevel="0" collapsed="false">
      <c r="A197" s="28" t="str">
        <f aca="false">IF('1-Turizm Rehberliği'!A194="","","Turizm Rehberliği")</f>
        <v/>
      </c>
      <c r="B197" s="28" t="str">
        <f aca="false">IF($A197="","",IF('1-Turizm Rehberliği'!A194="","",'1-Turizm Rehberliği'!A194))</f>
        <v/>
      </c>
      <c r="C197" s="29" t="str">
        <f aca="false">IF($A197="","",IF('1-Turizm Rehberliği'!B194="","",'1-Turizm Rehberliği'!B194))</f>
        <v/>
      </c>
      <c r="D197" s="28" t="str">
        <f aca="false">IF($A197="","",IF('1-Turizm Rehberliği'!C194="","",'1-Turizm Rehberliği'!C194))</f>
        <v/>
      </c>
      <c r="E197" s="28" t="str">
        <f aca="false">IF($A197="","",$A197&amp;"-"&amp;$D197)</f>
        <v/>
      </c>
      <c r="F197" s="28" t="str">
        <f aca="false">IF($A197="","",IF('1-Turizm Rehberliği'!D194="","",'1-Turizm Rehberliği'!D194))</f>
        <v/>
      </c>
      <c r="G197" s="28" t="str">
        <f aca="false">IF($A197="","",IF('1-Turizm Rehberliği'!E194="","",'1-Turizm Rehberliği'!E194))</f>
        <v/>
      </c>
      <c r="H197" s="28" t="str">
        <f aca="false">IF($A197="","",IF('1-Turizm Rehberliği'!F194="","",'1-Turizm Rehberliği'!F194))</f>
        <v/>
      </c>
      <c r="I197" s="28" t="str">
        <f aca="false">IF($A197="","",IF('1-Turizm Rehberliği'!G194="","",'1-Turizm Rehberliği'!G194))</f>
        <v/>
      </c>
      <c r="J197" s="28" t="str">
        <f aca="false">IF($A197="","",IF('1-Turizm Rehberliği'!H194="","",'1-Turizm Rehberliği'!H194))</f>
        <v/>
      </c>
      <c r="K197" s="28" t="str">
        <f aca="false">IF($A197="","",IF('1-Turizm Rehberliği'!I194="","",'1-Turizm Rehberliği'!I194))</f>
        <v/>
      </c>
      <c r="L197" s="28" t="str">
        <f aca="false">IF($I197="","",MATCH($I197,{"08.00";"09.00";"10.00";"11.00";"12.00";"13.00";"14.00";"15.00";"16.00";"17.00"},0))</f>
        <v/>
      </c>
      <c r="M197" s="28" t="str">
        <f aca="false">IF(OR($L197="",$J197=""),"",$L197+$J197-1)</f>
        <v/>
      </c>
      <c r="N197" s="28" t="str">
        <f aca="false">IF($A197="","",IF(OR($L197="",$M197=""),"",IF($M197&gt;10,"⚠ Saat Taşıyor","")))</f>
        <v/>
      </c>
      <c r="O197" s="28" t="str">
        <f aca="false">IF($A197="","",IF(OR($G197="",$H197="",$L197=""),"",IF(SUMPRODUCT(($A$7:$A$606&lt;&gt;"")*($G$7:$G$606=$G197)*($H$7:$H$606=$H197)*(ROW($A$7:$A$606)&lt;&gt;197)*($L$7:$L$606&lt;=$M197)*($M$7:$M$606&gt;=$L197))&gt;0,"⚠ Çakışma","OK")))</f>
        <v/>
      </c>
      <c r="P197" s="28" t="str">
        <f aca="false">IF($A197="","",IF(OR($K197="",$H197="",$L197=""),"",IF(SUMPRODUCT(($A$7:$A$606&lt;&gt;"")*($K$7:$K$606=$K197)*($H$7:$H$606=$H197)*(ROW($A$7:$A$606)&lt;&gt;197)*($L$7:$L$606&lt;=$M197)*($M$7:$M$606&gt;=$L197))&gt;0,"⚠ Çakışma","OK")))</f>
        <v/>
      </c>
      <c r="Q197" s="28" t="str">
        <f aca="false">IF($A197="","",IF(OR($E197="",$H197="",$L197=""),"",IF(SUMPRODUCT(($A$7:$A$606&lt;&gt;"")*($E$7:$E$606=$E197)*($H$7:$H$606=$H197)*(ROW($A$7:$A$606)&lt;&gt;197)*($L$7:$L$606&lt;=$M197)*($M$7:$M$606&gt;=$L197))&gt;0,"⚠ Çakışma","OK")))</f>
        <v/>
      </c>
      <c r="R197" s="28" t="str">
        <f aca="false">IF($A197="","",IF(OR($N197&lt;&gt;"",$O197="⚠ Çakışma",$P197="⚠ Çakışma",$Q197="⚠ Çakışma"),"⚠ Kontrol Et","✓ Uygun"))</f>
        <v/>
      </c>
    </row>
    <row r="198" customFormat="false" ht="13.5" hidden="false" customHeight="true" outlineLevel="0" collapsed="false">
      <c r="A198" s="28" t="str">
        <f aca="false">IF('1-Turizm Rehberliği'!A195="","","Turizm Rehberliği")</f>
        <v/>
      </c>
      <c r="B198" s="28" t="str">
        <f aca="false">IF($A198="","",IF('1-Turizm Rehberliği'!A195="","",'1-Turizm Rehberliği'!A195))</f>
        <v/>
      </c>
      <c r="C198" s="29" t="str">
        <f aca="false">IF($A198="","",IF('1-Turizm Rehberliği'!B195="","",'1-Turizm Rehberliği'!B195))</f>
        <v/>
      </c>
      <c r="D198" s="28" t="str">
        <f aca="false">IF($A198="","",IF('1-Turizm Rehberliği'!C195="","",'1-Turizm Rehberliği'!C195))</f>
        <v/>
      </c>
      <c r="E198" s="28" t="str">
        <f aca="false">IF($A198="","",$A198&amp;"-"&amp;$D198)</f>
        <v/>
      </c>
      <c r="F198" s="28" t="str">
        <f aca="false">IF($A198="","",IF('1-Turizm Rehberliği'!D195="","",'1-Turizm Rehberliği'!D195))</f>
        <v/>
      </c>
      <c r="G198" s="28" t="str">
        <f aca="false">IF($A198="","",IF('1-Turizm Rehberliği'!E195="","",'1-Turizm Rehberliği'!E195))</f>
        <v/>
      </c>
      <c r="H198" s="28" t="str">
        <f aca="false">IF($A198="","",IF('1-Turizm Rehberliği'!F195="","",'1-Turizm Rehberliği'!F195))</f>
        <v/>
      </c>
      <c r="I198" s="28" t="str">
        <f aca="false">IF($A198="","",IF('1-Turizm Rehberliği'!G195="","",'1-Turizm Rehberliği'!G195))</f>
        <v/>
      </c>
      <c r="J198" s="28" t="str">
        <f aca="false">IF($A198="","",IF('1-Turizm Rehberliği'!H195="","",'1-Turizm Rehberliği'!H195))</f>
        <v/>
      </c>
      <c r="K198" s="28" t="str">
        <f aca="false">IF($A198="","",IF('1-Turizm Rehberliği'!I195="","",'1-Turizm Rehberliği'!I195))</f>
        <v/>
      </c>
      <c r="L198" s="28" t="str">
        <f aca="false">IF($I198="","",MATCH($I198,{"08.00";"09.00";"10.00";"11.00";"12.00";"13.00";"14.00";"15.00";"16.00";"17.00"},0))</f>
        <v/>
      </c>
      <c r="M198" s="28" t="str">
        <f aca="false">IF(OR($L198="",$J198=""),"",$L198+$J198-1)</f>
        <v/>
      </c>
      <c r="N198" s="28" t="str">
        <f aca="false">IF($A198="","",IF(OR($L198="",$M198=""),"",IF($M198&gt;10,"⚠ Saat Taşıyor","")))</f>
        <v/>
      </c>
      <c r="O198" s="28" t="str">
        <f aca="false">IF($A198="","",IF(OR($G198="",$H198="",$L198=""),"",IF(SUMPRODUCT(($A$7:$A$606&lt;&gt;"")*($G$7:$G$606=$G198)*($H$7:$H$606=$H198)*(ROW($A$7:$A$606)&lt;&gt;198)*($L$7:$L$606&lt;=$M198)*($M$7:$M$606&gt;=$L198))&gt;0,"⚠ Çakışma","OK")))</f>
        <v/>
      </c>
      <c r="P198" s="28" t="str">
        <f aca="false">IF($A198="","",IF(OR($K198="",$H198="",$L198=""),"",IF(SUMPRODUCT(($A$7:$A$606&lt;&gt;"")*($K$7:$K$606=$K198)*($H$7:$H$606=$H198)*(ROW($A$7:$A$606)&lt;&gt;198)*($L$7:$L$606&lt;=$M198)*($M$7:$M$606&gt;=$L198))&gt;0,"⚠ Çakışma","OK")))</f>
        <v/>
      </c>
      <c r="Q198" s="28" t="str">
        <f aca="false">IF($A198="","",IF(OR($E198="",$H198="",$L198=""),"",IF(SUMPRODUCT(($A$7:$A$606&lt;&gt;"")*($E$7:$E$606=$E198)*($H$7:$H$606=$H198)*(ROW($A$7:$A$606)&lt;&gt;198)*($L$7:$L$606&lt;=$M198)*($M$7:$M$606&gt;=$L198))&gt;0,"⚠ Çakışma","OK")))</f>
        <v/>
      </c>
      <c r="R198" s="28" t="str">
        <f aca="false">IF($A198="","",IF(OR($N198&lt;&gt;"",$O198="⚠ Çakışma",$P198="⚠ Çakışma",$Q198="⚠ Çakışma"),"⚠ Kontrol Et","✓ Uygun"))</f>
        <v/>
      </c>
    </row>
    <row r="199" customFormat="false" ht="13.5" hidden="false" customHeight="true" outlineLevel="0" collapsed="false">
      <c r="A199" s="28" t="str">
        <f aca="false">IF('1-Turizm Rehberliği'!A196="","","Turizm Rehberliği")</f>
        <v/>
      </c>
      <c r="B199" s="28" t="str">
        <f aca="false">IF($A199="","",IF('1-Turizm Rehberliği'!A196="","",'1-Turizm Rehberliği'!A196))</f>
        <v/>
      </c>
      <c r="C199" s="29" t="str">
        <f aca="false">IF($A199="","",IF('1-Turizm Rehberliği'!B196="","",'1-Turizm Rehberliği'!B196))</f>
        <v/>
      </c>
      <c r="D199" s="28" t="str">
        <f aca="false">IF($A199="","",IF('1-Turizm Rehberliği'!C196="","",'1-Turizm Rehberliği'!C196))</f>
        <v/>
      </c>
      <c r="E199" s="28" t="str">
        <f aca="false">IF($A199="","",$A199&amp;"-"&amp;$D199)</f>
        <v/>
      </c>
      <c r="F199" s="28" t="str">
        <f aca="false">IF($A199="","",IF('1-Turizm Rehberliği'!D196="","",'1-Turizm Rehberliği'!D196))</f>
        <v/>
      </c>
      <c r="G199" s="28" t="str">
        <f aca="false">IF($A199="","",IF('1-Turizm Rehberliği'!E196="","",'1-Turizm Rehberliği'!E196))</f>
        <v/>
      </c>
      <c r="H199" s="28" t="str">
        <f aca="false">IF($A199="","",IF('1-Turizm Rehberliği'!F196="","",'1-Turizm Rehberliği'!F196))</f>
        <v/>
      </c>
      <c r="I199" s="28" t="str">
        <f aca="false">IF($A199="","",IF('1-Turizm Rehberliği'!G196="","",'1-Turizm Rehberliği'!G196))</f>
        <v/>
      </c>
      <c r="J199" s="28" t="str">
        <f aca="false">IF($A199="","",IF('1-Turizm Rehberliği'!H196="","",'1-Turizm Rehberliği'!H196))</f>
        <v/>
      </c>
      <c r="K199" s="28" t="str">
        <f aca="false">IF($A199="","",IF('1-Turizm Rehberliği'!I196="","",'1-Turizm Rehberliği'!I196))</f>
        <v/>
      </c>
      <c r="L199" s="28" t="str">
        <f aca="false">IF($I199="","",MATCH($I199,{"08.00";"09.00";"10.00";"11.00";"12.00";"13.00";"14.00";"15.00";"16.00";"17.00"},0))</f>
        <v/>
      </c>
      <c r="M199" s="28" t="str">
        <f aca="false">IF(OR($L199="",$J199=""),"",$L199+$J199-1)</f>
        <v/>
      </c>
      <c r="N199" s="28" t="str">
        <f aca="false">IF($A199="","",IF(OR($L199="",$M199=""),"",IF($M199&gt;10,"⚠ Saat Taşıyor","")))</f>
        <v/>
      </c>
      <c r="O199" s="28" t="str">
        <f aca="false">IF($A199="","",IF(OR($G199="",$H199="",$L199=""),"",IF(SUMPRODUCT(($A$7:$A$606&lt;&gt;"")*($G$7:$G$606=$G199)*($H$7:$H$606=$H199)*(ROW($A$7:$A$606)&lt;&gt;199)*($L$7:$L$606&lt;=$M199)*($M$7:$M$606&gt;=$L199))&gt;0,"⚠ Çakışma","OK")))</f>
        <v/>
      </c>
      <c r="P199" s="28" t="str">
        <f aca="false">IF($A199="","",IF(OR($K199="",$H199="",$L199=""),"",IF(SUMPRODUCT(($A$7:$A$606&lt;&gt;"")*($K$7:$K$606=$K199)*($H$7:$H$606=$H199)*(ROW($A$7:$A$606)&lt;&gt;199)*($L$7:$L$606&lt;=$M199)*($M$7:$M$606&gt;=$L199))&gt;0,"⚠ Çakışma","OK")))</f>
        <v/>
      </c>
      <c r="Q199" s="28" t="str">
        <f aca="false">IF($A199="","",IF(OR($E199="",$H199="",$L199=""),"",IF(SUMPRODUCT(($A$7:$A$606&lt;&gt;"")*($E$7:$E$606=$E199)*($H$7:$H$606=$H199)*(ROW($A$7:$A$606)&lt;&gt;199)*($L$7:$L$606&lt;=$M199)*($M$7:$M$606&gt;=$L199))&gt;0,"⚠ Çakışma","OK")))</f>
        <v/>
      </c>
      <c r="R199" s="28" t="str">
        <f aca="false">IF($A199="","",IF(OR($N199&lt;&gt;"",$O199="⚠ Çakışma",$P199="⚠ Çakışma",$Q199="⚠ Çakışma"),"⚠ Kontrol Et","✓ Uygun"))</f>
        <v/>
      </c>
    </row>
    <row r="200" customFormat="false" ht="13.5" hidden="false" customHeight="true" outlineLevel="0" collapsed="false">
      <c r="A200" s="28" t="str">
        <f aca="false">IF('1-Turizm Rehberliği'!A197="","","Turizm Rehberliği")</f>
        <v/>
      </c>
      <c r="B200" s="28" t="str">
        <f aca="false">IF($A200="","",IF('1-Turizm Rehberliği'!A197="","",'1-Turizm Rehberliği'!A197))</f>
        <v/>
      </c>
      <c r="C200" s="29" t="str">
        <f aca="false">IF($A200="","",IF('1-Turizm Rehberliği'!B197="","",'1-Turizm Rehberliği'!B197))</f>
        <v/>
      </c>
      <c r="D200" s="28" t="str">
        <f aca="false">IF($A200="","",IF('1-Turizm Rehberliği'!C197="","",'1-Turizm Rehberliği'!C197))</f>
        <v/>
      </c>
      <c r="E200" s="28" t="str">
        <f aca="false">IF($A200="","",$A200&amp;"-"&amp;$D200)</f>
        <v/>
      </c>
      <c r="F200" s="28" t="str">
        <f aca="false">IF($A200="","",IF('1-Turizm Rehberliği'!D197="","",'1-Turizm Rehberliği'!D197))</f>
        <v/>
      </c>
      <c r="G200" s="28" t="str">
        <f aca="false">IF($A200="","",IF('1-Turizm Rehberliği'!E197="","",'1-Turizm Rehberliği'!E197))</f>
        <v/>
      </c>
      <c r="H200" s="28" t="str">
        <f aca="false">IF($A200="","",IF('1-Turizm Rehberliği'!F197="","",'1-Turizm Rehberliği'!F197))</f>
        <v/>
      </c>
      <c r="I200" s="28" t="str">
        <f aca="false">IF($A200="","",IF('1-Turizm Rehberliği'!G197="","",'1-Turizm Rehberliği'!G197))</f>
        <v/>
      </c>
      <c r="J200" s="28" t="str">
        <f aca="false">IF($A200="","",IF('1-Turizm Rehberliği'!H197="","",'1-Turizm Rehberliği'!H197))</f>
        <v/>
      </c>
      <c r="K200" s="28" t="str">
        <f aca="false">IF($A200="","",IF('1-Turizm Rehberliği'!I197="","",'1-Turizm Rehberliği'!I197))</f>
        <v/>
      </c>
      <c r="L200" s="28" t="str">
        <f aca="false">IF($I200="","",MATCH($I200,{"08.00";"09.00";"10.00";"11.00";"12.00";"13.00";"14.00";"15.00";"16.00";"17.00"},0))</f>
        <v/>
      </c>
      <c r="M200" s="28" t="str">
        <f aca="false">IF(OR($L200="",$J200=""),"",$L200+$J200-1)</f>
        <v/>
      </c>
      <c r="N200" s="28" t="str">
        <f aca="false">IF($A200="","",IF(OR($L200="",$M200=""),"",IF($M200&gt;10,"⚠ Saat Taşıyor","")))</f>
        <v/>
      </c>
      <c r="O200" s="28" t="str">
        <f aca="false">IF($A200="","",IF(OR($G200="",$H200="",$L200=""),"",IF(SUMPRODUCT(($A$7:$A$606&lt;&gt;"")*($G$7:$G$606=$G200)*($H$7:$H$606=$H200)*(ROW($A$7:$A$606)&lt;&gt;200)*($L$7:$L$606&lt;=$M200)*($M$7:$M$606&gt;=$L200))&gt;0,"⚠ Çakışma","OK")))</f>
        <v/>
      </c>
      <c r="P200" s="28" t="str">
        <f aca="false">IF($A200="","",IF(OR($K200="",$H200="",$L200=""),"",IF(SUMPRODUCT(($A$7:$A$606&lt;&gt;"")*($K$7:$K$606=$K200)*($H$7:$H$606=$H200)*(ROW($A$7:$A$606)&lt;&gt;200)*($L$7:$L$606&lt;=$M200)*($M$7:$M$606&gt;=$L200))&gt;0,"⚠ Çakışma","OK")))</f>
        <v/>
      </c>
      <c r="Q200" s="28" t="str">
        <f aca="false">IF($A200="","",IF(OR($E200="",$H200="",$L200=""),"",IF(SUMPRODUCT(($A$7:$A$606&lt;&gt;"")*($E$7:$E$606=$E200)*($H$7:$H$606=$H200)*(ROW($A$7:$A$606)&lt;&gt;200)*($L$7:$L$606&lt;=$M200)*($M$7:$M$606&gt;=$L200))&gt;0,"⚠ Çakışma","OK")))</f>
        <v/>
      </c>
      <c r="R200" s="28" t="str">
        <f aca="false">IF($A200="","",IF(OR($N200&lt;&gt;"",$O200="⚠ Çakışma",$P200="⚠ Çakışma",$Q200="⚠ Çakışma"),"⚠ Kontrol Et","✓ Uygun"))</f>
        <v/>
      </c>
    </row>
    <row r="201" customFormat="false" ht="13.5" hidden="false" customHeight="true" outlineLevel="0" collapsed="false">
      <c r="A201" s="28" t="str">
        <f aca="false">IF('1-Turizm Rehberliği'!A198="","","Turizm Rehberliği")</f>
        <v/>
      </c>
      <c r="B201" s="28" t="str">
        <f aca="false">IF($A201="","",IF('1-Turizm Rehberliği'!A198="","",'1-Turizm Rehberliği'!A198))</f>
        <v/>
      </c>
      <c r="C201" s="29" t="str">
        <f aca="false">IF($A201="","",IF('1-Turizm Rehberliği'!B198="","",'1-Turizm Rehberliği'!B198))</f>
        <v/>
      </c>
      <c r="D201" s="28" t="str">
        <f aca="false">IF($A201="","",IF('1-Turizm Rehberliği'!C198="","",'1-Turizm Rehberliği'!C198))</f>
        <v/>
      </c>
      <c r="E201" s="28" t="str">
        <f aca="false">IF($A201="","",$A201&amp;"-"&amp;$D201)</f>
        <v/>
      </c>
      <c r="F201" s="28" t="str">
        <f aca="false">IF($A201="","",IF('1-Turizm Rehberliği'!D198="","",'1-Turizm Rehberliği'!D198))</f>
        <v/>
      </c>
      <c r="G201" s="28" t="str">
        <f aca="false">IF($A201="","",IF('1-Turizm Rehberliği'!E198="","",'1-Turizm Rehberliği'!E198))</f>
        <v/>
      </c>
      <c r="H201" s="28" t="str">
        <f aca="false">IF($A201="","",IF('1-Turizm Rehberliği'!F198="","",'1-Turizm Rehberliği'!F198))</f>
        <v/>
      </c>
      <c r="I201" s="28" t="str">
        <f aca="false">IF($A201="","",IF('1-Turizm Rehberliği'!G198="","",'1-Turizm Rehberliği'!G198))</f>
        <v/>
      </c>
      <c r="J201" s="28" t="str">
        <f aca="false">IF($A201="","",IF('1-Turizm Rehberliği'!H198="","",'1-Turizm Rehberliği'!H198))</f>
        <v/>
      </c>
      <c r="K201" s="28" t="str">
        <f aca="false">IF($A201="","",IF('1-Turizm Rehberliği'!I198="","",'1-Turizm Rehberliği'!I198))</f>
        <v/>
      </c>
      <c r="L201" s="28" t="str">
        <f aca="false">IF($I201="","",MATCH($I201,{"08.00";"09.00";"10.00";"11.00";"12.00";"13.00";"14.00";"15.00";"16.00";"17.00"},0))</f>
        <v/>
      </c>
      <c r="M201" s="28" t="str">
        <f aca="false">IF(OR($L201="",$J201=""),"",$L201+$J201-1)</f>
        <v/>
      </c>
      <c r="N201" s="28" t="str">
        <f aca="false">IF($A201="","",IF(OR($L201="",$M201=""),"",IF($M201&gt;10,"⚠ Saat Taşıyor","")))</f>
        <v/>
      </c>
      <c r="O201" s="28" t="str">
        <f aca="false">IF($A201="","",IF(OR($G201="",$H201="",$L201=""),"",IF(SUMPRODUCT(($A$7:$A$606&lt;&gt;"")*($G$7:$G$606=$G201)*($H$7:$H$606=$H201)*(ROW($A$7:$A$606)&lt;&gt;201)*($L$7:$L$606&lt;=$M201)*($M$7:$M$606&gt;=$L201))&gt;0,"⚠ Çakışma","OK")))</f>
        <v/>
      </c>
      <c r="P201" s="28" t="str">
        <f aca="false">IF($A201="","",IF(OR($K201="",$H201="",$L201=""),"",IF(SUMPRODUCT(($A$7:$A$606&lt;&gt;"")*($K$7:$K$606=$K201)*($H$7:$H$606=$H201)*(ROW($A$7:$A$606)&lt;&gt;201)*($L$7:$L$606&lt;=$M201)*($M$7:$M$606&gt;=$L201))&gt;0,"⚠ Çakışma","OK")))</f>
        <v/>
      </c>
      <c r="Q201" s="28" t="str">
        <f aca="false">IF($A201="","",IF(OR($E201="",$H201="",$L201=""),"",IF(SUMPRODUCT(($A$7:$A$606&lt;&gt;"")*($E$7:$E$606=$E201)*($H$7:$H$606=$H201)*(ROW($A$7:$A$606)&lt;&gt;201)*($L$7:$L$606&lt;=$M201)*($M$7:$M$606&gt;=$L201))&gt;0,"⚠ Çakışma","OK")))</f>
        <v/>
      </c>
      <c r="R201" s="28" t="str">
        <f aca="false">IF($A201="","",IF(OR($N201&lt;&gt;"",$O201="⚠ Çakışma",$P201="⚠ Çakışma",$Q201="⚠ Çakışma"),"⚠ Kontrol Et","✓ Uygun"))</f>
        <v/>
      </c>
    </row>
    <row r="202" customFormat="false" ht="13.5" hidden="false" customHeight="true" outlineLevel="0" collapsed="false">
      <c r="A202" s="28" t="str">
        <f aca="false">IF('1-Turizm Rehberliği'!A199="","","Turizm Rehberliği")</f>
        <v/>
      </c>
      <c r="B202" s="28" t="str">
        <f aca="false">IF($A202="","",IF('1-Turizm Rehberliği'!A199="","",'1-Turizm Rehberliği'!A199))</f>
        <v/>
      </c>
      <c r="C202" s="29" t="str">
        <f aca="false">IF($A202="","",IF('1-Turizm Rehberliği'!B199="","",'1-Turizm Rehberliği'!B199))</f>
        <v/>
      </c>
      <c r="D202" s="28" t="str">
        <f aca="false">IF($A202="","",IF('1-Turizm Rehberliği'!C199="","",'1-Turizm Rehberliği'!C199))</f>
        <v/>
      </c>
      <c r="E202" s="28" t="str">
        <f aca="false">IF($A202="","",$A202&amp;"-"&amp;$D202)</f>
        <v/>
      </c>
      <c r="F202" s="28" t="str">
        <f aca="false">IF($A202="","",IF('1-Turizm Rehberliği'!D199="","",'1-Turizm Rehberliği'!D199))</f>
        <v/>
      </c>
      <c r="G202" s="28" t="str">
        <f aca="false">IF($A202="","",IF('1-Turizm Rehberliği'!E199="","",'1-Turizm Rehberliği'!E199))</f>
        <v/>
      </c>
      <c r="H202" s="28" t="str">
        <f aca="false">IF($A202="","",IF('1-Turizm Rehberliği'!F199="","",'1-Turizm Rehberliği'!F199))</f>
        <v/>
      </c>
      <c r="I202" s="28" t="str">
        <f aca="false">IF($A202="","",IF('1-Turizm Rehberliği'!G199="","",'1-Turizm Rehberliği'!G199))</f>
        <v/>
      </c>
      <c r="J202" s="28" t="str">
        <f aca="false">IF($A202="","",IF('1-Turizm Rehberliği'!H199="","",'1-Turizm Rehberliği'!H199))</f>
        <v/>
      </c>
      <c r="K202" s="28" t="str">
        <f aca="false">IF($A202="","",IF('1-Turizm Rehberliği'!I199="","",'1-Turizm Rehberliği'!I199))</f>
        <v/>
      </c>
      <c r="L202" s="28" t="str">
        <f aca="false">IF($I202="","",MATCH($I202,{"08.00";"09.00";"10.00";"11.00";"12.00";"13.00";"14.00";"15.00";"16.00";"17.00"},0))</f>
        <v/>
      </c>
      <c r="M202" s="28" t="str">
        <f aca="false">IF(OR($L202="",$J202=""),"",$L202+$J202-1)</f>
        <v/>
      </c>
      <c r="N202" s="28" t="str">
        <f aca="false">IF($A202="","",IF(OR($L202="",$M202=""),"",IF($M202&gt;10,"⚠ Saat Taşıyor","")))</f>
        <v/>
      </c>
      <c r="O202" s="28" t="str">
        <f aca="false">IF($A202="","",IF(OR($G202="",$H202="",$L202=""),"",IF(SUMPRODUCT(($A$7:$A$606&lt;&gt;"")*($G$7:$G$606=$G202)*($H$7:$H$606=$H202)*(ROW($A$7:$A$606)&lt;&gt;202)*($L$7:$L$606&lt;=$M202)*($M$7:$M$606&gt;=$L202))&gt;0,"⚠ Çakışma","OK")))</f>
        <v/>
      </c>
      <c r="P202" s="28" t="str">
        <f aca="false">IF($A202="","",IF(OR($K202="",$H202="",$L202=""),"",IF(SUMPRODUCT(($A$7:$A$606&lt;&gt;"")*($K$7:$K$606=$K202)*($H$7:$H$606=$H202)*(ROW($A$7:$A$606)&lt;&gt;202)*($L$7:$L$606&lt;=$M202)*($M$7:$M$606&gt;=$L202))&gt;0,"⚠ Çakışma","OK")))</f>
        <v/>
      </c>
      <c r="Q202" s="28" t="str">
        <f aca="false">IF($A202="","",IF(OR($E202="",$H202="",$L202=""),"",IF(SUMPRODUCT(($A$7:$A$606&lt;&gt;"")*($E$7:$E$606=$E202)*($H$7:$H$606=$H202)*(ROW($A$7:$A$606)&lt;&gt;202)*($L$7:$L$606&lt;=$M202)*($M$7:$M$606&gt;=$L202))&gt;0,"⚠ Çakışma","OK")))</f>
        <v/>
      </c>
      <c r="R202" s="28" t="str">
        <f aca="false">IF($A202="","",IF(OR($N202&lt;&gt;"",$O202="⚠ Çakışma",$P202="⚠ Çakışma",$Q202="⚠ Çakışma"),"⚠ Kontrol Et","✓ Uygun"))</f>
        <v/>
      </c>
    </row>
    <row r="203" customFormat="false" ht="13.5" hidden="false" customHeight="true" outlineLevel="0" collapsed="false">
      <c r="A203" s="28" t="str">
        <f aca="false">IF('1-Turizm Rehberliği'!A200="","","Turizm Rehberliği")</f>
        <v/>
      </c>
      <c r="B203" s="28" t="str">
        <f aca="false">IF($A203="","",IF('1-Turizm Rehberliği'!A200="","",'1-Turizm Rehberliği'!A200))</f>
        <v/>
      </c>
      <c r="C203" s="29" t="str">
        <f aca="false">IF($A203="","",IF('1-Turizm Rehberliği'!B200="","",'1-Turizm Rehberliği'!B200))</f>
        <v/>
      </c>
      <c r="D203" s="28" t="str">
        <f aca="false">IF($A203="","",IF('1-Turizm Rehberliği'!C200="","",'1-Turizm Rehberliği'!C200))</f>
        <v/>
      </c>
      <c r="E203" s="28" t="str">
        <f aca="false">IF($A203="","",$A203&amp;"-"&amp;$D203)</f>
        <v/>
      </c>
      <c r="F203" s="28" t="str">
        <f aca="false">IF($A203="","",IF('1-Turizm Rehberliği'!D200="","",'1-Turizm Rehberliği'!D200))</f>
        <v/>
      </c>
      <c r="G203" s="28" t="str">
        <f aca="false">IF($A203="","",IF('1-Turizm Rehberliği'!E200="","",'1-Turizm Rehberliği'!E200))</f>
        <v/>
      </c>
      <c r="H203" s="28" t="str">
        <f aca="false">IF($A203="","",IF('1-Turizm Rehberliği'!F200="","",'1-Turizm Rehberliği'!F200))</f>
        <v/>
      </c>
      <c r="I203" s="28" t="str">
        <f aca="false">IF($A203="","",IF('1-Turizm Rehberliği'!G200="","",'1-Turizm Rehberliği'!G200))</f>
        <v/>
      </c>
      <c r="J203" s="28" t="str">
        <f aca="false">IF($A203="","",IF('1-Turizm Rehberliği'!H200="","",'1-Turizm Rehberliği'!H200))</f>
        <v/>
      </c>
      <c r="K203" s="28" t="str">
        <f aca="false">IF($A203="","",IF('1-Turizm Rehberliği'!I200="","",'1-Turizm Rehberliği'!I200))</f>
        <v/>
      </c>
      <c r="L203" s="28" t="str">
        <f aca="false">IF($I203="","",MATCH($I203,{"08.00";"09.00";"10.00";"11.00";"12.00";"13.00";"14.00";"15.00";"16.00";"17.00"},0))</f>
        <v/>
      </c>
      <c r="M203" s="28" t="str">
        <f aca="false">IF(OR($L203="",$J203=""),"",$L203+$J203-1)</f>
        <v/>
      </c>
      <c r="N203" s="28" t="str">
        <f aca="false">IF($A203="","",IF(OR($L203="",$M203=""),"",IF($M203&gt;10,"⚠ Saat Taşıyor","")))</f>
        <v/>
      </c>
      <c r="O203" s="28" t="str">
        <f aca="false">IF($A203="","",IF(OR($G203="",$H203="",$L203=""),"",IF(SUMPRODUCT(($A$7:$A$606&lt;&gt;"")*($G$7:$G$606=$G203)*($H$7:$H$606=$H203)*(ROW($A$7:$A$606)&lt;&gt;203)*($L$7:$L$606&lt;=$M203)*($M$7:$M$606&gt;=$L203))&gt;0,"⚠ Çakışma","OK")))</f>
        <v/>
      </c>
      <c r="P203" s="28" t="str">
        <f aca="false">IF($A203="","",IF(OR($K203="",$H203="",$L203=""),"",IF(SUMPRODUCT(($A$7:$A$606&lt;&gt;"")*($K$7:$K$606=$K203)*($H$7:$H$606=$H203)*(ROW($A$7:$A$606)&lt;&gt;203)*($L$7:$L$606&lt;=$M203)*($M$7:$M$606&gt;=$L203))&gt;0,"⚠ Çakışma","OK")))</f>
        <v/>
      </c>
      <c r="Q203" s="28" t="str">
        <f aca="false">IF($A203="","",IF(OR($E203="",$H203="",$L203=""),"",IF(SUMPRODUCT(($A$7:$A$606&lt;&gt;"")*($E$7:$E$606=$E203)*($H$7:$H$606=$H203)*(ROW($A$7:$A$606)&lt;&gt;203)*($L$7:$L$606&lt;=$M203)*($M$7:$M$606&gt;=$L203))&gt;0,"⚠ Çakışma","OK")))</f>
        <v/>
      </c>
      <c r="R203" s="28" t="str">
        <f aca="false">IF($A203="","",IF(OR($N203&lt;&gt;"",$O203="⚠ Çakışma",$P203="⚠ Çakışma",$Q203="⚠ Çakışma"),"⚠ Kontrol Et","✓ Uygun"))</f>
        <v/>
      </c>
    </row>
    <row r="204" customFormat="false" ht="13.5" hidden="false" customHeight="true" outlineLevel="0" collapsed="false">
      <c r="A204" s="28" t="str">
        <f aca="false">IF('1-Turizm Rehberliği'!A201="","","Turizm Rehberliği")</f>
        <v/>
      </c>
      <c r="B204" s="28" t="str">
        <f aca="false">IF($A204="","",IF('1-Turizm Rehberliği'!A201="","",'1-Turizm Rehberliği'!A201))</f>
        <v/>
      </c>
      <c r="C204" s="29" t="str">
        <f aca="false">IF($A204="","",IF('1-Turizm Rehberliği'!B201="","",'1-Turizm Rehberliği'!B201))</f>
        <v/>
      </c>
      <c r="D204" s="28" t="str">
        <f aca="false">IF($A204="","",IF('1-Turizm Rehberliği'!C201="","",'1-Turizm Rehberliği'!C201))</f>
        <v/>
      </c>
      <c r="E204" s="28" t="str">
        <f aca="false">IF($A204="","",$A204&amp;"-"&amp;$D204)</f>
        <v/>
      </c>
      <c r="F204" s="28" t="str">
        <f aca="false">IF($A204="","",IF('1-Turizm Rehberliği'!D201="","",'1-Turizm Rehberliği'!D201))</f>
        <v/>
      </c>
      <c r="G204" s="28" t="str">
        <f aca="false">IF($A204="","",IF('1-Turizm Rehberliği'!E201="","",'1-Turizm Rehberliği'!E201))</f>
        <v/>
      </c>
      <c r="H204" s="28" t="str">
        <f aca="false">IF($A204="","",IF('1-Turizm Rehberliği'!F201="","",'1-Turizm Rehberliği'!F201))</f>
        <v/>
      </c>
      <c r="I204" s="28" t="str">
        <f aca="false">IF($A204="","",IF('1-Turizm Rehberliği'!G201="","",'1-Turizm Rehberliği'!G201))</f>
        <v/>
      </c>
      <c r="J204" s="28" t="str">
        <f aca="false">IF($A204="","",IF('1-Turizm Rehberliği'!H201="","",'1-Turizm Rehberliği'!H201))</f>
        <v/>
      </c>
      <c r="K204" s="28" t="str">
        <f aca="false">IF($A204="","",IF('1-Turizm Rehberliği'!I201="","",'1-Turizm Rehberliği'!I201))</f>
        <v/>
      </c>
      <c r="L204" s="28" t="str">
        <f aca="false">IF($I204="","",MATCH($I204,{"08.00";"09.00";"10.00";"11.00";"12.00";"13.00";"14.00";"15.00";"16.00";"17.00"},0))</f>
        <v/>
      </c>
      <c r="M204" s="28" t="str">
        <f aca="false">IF(OR($L204="",$J204=""),"",$L204+$J204-1)</f>
        <v/>
      </c>
      <c r="N204" s="28" t="str">
        <f aca="false">IF($A204="","",IF(OR($L204="",$M204=""),"",IF($M204&gt;10,"⚠ Saat Taşıyor","")))</f>
        <v/>
      </c>
      <c r="O204" s="28" t="str">
        <f aca="false">IF($A204="","",IF(OR($G204="",$H204="",$L204=""),"",IF(SUMPRODUCT(($A$7:$A$606&lt;&gt;"")*($G$7:$G$606=$G204)*($H$7:$H$606=$H204)*(ROW($A$7:$A$606)&lt;&gt;204)*($L$7:$L$606&lt;=$M204)*($M$7:$M$606&gt;=$L204))&gt;0,"⚠ Çakışma","OK")))</f>
        <v/>
      </c>
      <c r="P204" s="28" t="str">
        <f aca="false">IF($A204="","",IF(OR($K204="",$H204="",$L204=""),"",IF(SUMPRODUCT(($A$7:$A$606&lt;&gt;"")*($K$7:$K$606=$K204)*($H$7:$H$606=$H204)*(ROW($A$7:$A$606)&lt;&gt;204)*($L$7:$L$606&lt;=$M204)*($M$7:$M$606&gt;=$L204))&gt;0,"⚠ Çakışma","OK")))</f>
        <v/>
      </c>
      <c r="Q204" s="28" t="str">
        <f aca="false">IF($A204="","",IF(OR($E204="",$H204="",$L204=""),"",IF(SUMPRODUCT(($A$7:$A$606&lt;&gt;"")*($E$7:$E$606=$E204)*($H$7:$H$606=$H204)*(ROW($A$7:$A$606)&lt;&gt;204)*($L$7:$L$606&lt;=$M204)*($M$7:$M$606&gt;=$L204))&gt;0,"⚠ Çakışma","OK")))</f>
        <v/>
      </c>
      <c r="R204" s="28" t="str">
        <f aca="false">IF($A204="","",IF(OR($N204&lt;&gt;"",$O204="⚠ Çakışma",$P204="⚠ Çakışma",$Q204="⚠ Çakışma"),"⚠ Kontrol Et","✓ Uygun"))</f>
        <v/>
      </c>
    </row>
    <row r="205" customFormat="false" ht="13.5" hidden="false" customHeight="true" outlineLevel="0" collapsed="false">
      <c r="A205" s="28" t="str">
        <f aca="false">IF('1-Turizm Rehberliği'!A202="","","Turizm Rehberliği")</f>
        <v/>
      </c>
      <c r="B205" s="28" t="str">
        <f aca="false">IF($A205="","",IF('1-Turizm Rehberliği'!A202="","",'1-Turizm Rehberliği'!A202))</f>
        <v/>
      </c>
      <c r="C205" s="29" t="str">
        <f aca="false">IF($A205="","",IF('1-Turizm Rehberliği'!B202="","",'1-Turizm Rehberliği'!B202))</f>
        <v/>
      </c>
      <c r="D205" s="28" t="str">
        <f aca="false">IF($A205="","",IF('1-Turizm Rehberliği'!C202="","",'1-Turizm Rehberliği'!C202))</f>
        <v/>
      </c>
      <c r="E205" s="28" t="str">
        <f aca="false">IF($A205="","",$A205&amp;"-"&amp;$D205)</f>
        <v/>
      </c>
      <c r="F205" s="28" t="str">
        <f aca="false">IF($A205="","",IF('1-Turizm Rehberliği'!D202="","",'1-Turizm Rehberliği'!D202))</f>
        <v/>
      </c>
      <c r="G205" s="28" t="str">
        <f aca="false">IF($A205="","",IF('1-Turizm Rehberliği'!E202="","",'1-Turizm Rehberliği'!E202))</f>
        <v/>
      </c>
      <c r="H205" s="28" t="str">
        <f aca="false">IF($A205="","",IF('1-Turizm Rehberliği'!F202="","",'1-Turizm Rehberliği'!F202))</f>
        <v/>
      </c>
      <c r="I205" s="28" t="str">
        <f aca="false">IF($A205="","",IF('1-Turizm Rehberliği'!G202="","",'1-Turizm Rehberliği'!G202))</f>
        <v/>
      </c>
      <c r="J205" s="28" t="str">
        <f aca="false">IF($A205="","",IF('1-Turizm Rehberliği'!H202="","",'1-Turizm Rehberliği'!H202))</f>
        <v/>
      </c>
      <c r="K205" s="28" t="str">
        <f aca="false">IF($A205="","",IF('1-Turizm Rehberliği'!I202="","",'1-Turizm Rehberliği'!I202))</f>
        <v/>
      </c>
      <c r="L205" s="28" t="str">
        <f aca="false">IF($I205="","",MATCH($I205,{"08.00";"09.00";"10.00";"11.00";"12.00";"13.00";"14.00";"15.00";"16.00";"17.00"},0))</f>
        <v/>
      </c>
      <c r="M205" s="28" t="str">
        <f aca="false">IF(OR($L205="",$J205=""),"",$L205+$J205-1)</f>
        <v/>
      </c>
      <c r="N205" s="28" t="str">
        <f aca="false">IF($A205="","",IF(OR($L205="",$M205=""),"",IF($M205&gt;10,"⚠ Saat Taşıyor","")))</f>
        <v/>
      </c>
      <c r="O205" s="28" t="str">
        <f aca="false">IF($A205="","",IF(OR($G205="",$H205="",$L205=""),"",IF(SUMPRODUCT(($A$7:$A$606&lt;&gt;"")*($G$7:$G$606=$G205)*($H$7:$H$606=$H205)*(ROW($A$7:$A$606)&lt;&gt;205)*($L$7:$L$606&lt;=$M205)*($M$7:$M$606&gt;=$L205))&gt;0,"⚠ Çakışma","OK")))</f>
        <v/>
      </c>
      <c r="P205" s="28" t="str">
        <f aca="false">IF($A205="","",IF(OR($K205="",$H205="",$L205=""),"",IF(SUMPRODUCT(($A$7:$A$606&lt;&gt;"")*($K$7:$K$606=$K205)*($H$7:$H$606=$H205)*(ROW($A$7:$A$606)&lt;&gt;205)*($L$7:$L$606&lt;=$M205)*($M$7:$M$606&gt;=$L205))&gt;0,"⚠ Çakışma","OK")))</f>
        <v/>
      </c>
      <c r="Q205" s="28" t="str">
        <f aca="false">IF($A205="","",IF(OR($E205="",$H205="",$L205=""),"",IF(SUMPRODUCT(($A$7:$A$606&lt;&gt;"")*($E$7:$E$606=$E205)*($H$7:$H$606=$H205)*(ROW($A$7:$A$606)&lt;&gt;205)*($L$7:$L$606&lt;=$M205)*($M$7:$M$606&gt;=$L205))&gt;0,"⚠ Çakışma","OK")))</f>
        <v/>
      </c>
      <c r="R205" s="28" t="str">
        <f aca="false">IF($A205="","",IF(OR($N205&lt;&gt;"",$O205="⚠ Çakışma",$P205="⚠ Çakışma",$Q205="⚠ Çakışma"),"⚠ Kontrol Et","✓ Uygun"))</f>
        <v/>
      </c>
    </row>
    <row r="206" customFormat="false" ht="13.5" hidden="false" customHeight="true" outlineLevel="0" collapsed="false">
      <c r="A206" s="28" t="str">
        <f aca="false">IF('1-Turizm Rehberliği'!A203="","","Turizm Rehberliği")</f>
        <v/>
      </c>
      <c r="B206" s="28" t="str">
        <f aca="false">IF($A206="","",IF('1-Turizm Rehberliği'!A203="","",'1-Turizm Rehberliği'!A203))</f>
        <v/>
      </c>
      <c r="C206" s="29" t="str">
        <f aca="false">IF($A206="","",IF('1-Turizm Rehberliği'!B203="","",'1-Turizm Rehberliği'!B203))</f>
        <v/>
      </c>
      <c r="D206" s="28" t="str">
        <f aca="false">IF($A206="","",IF('1-Turizm Rehberliği'!C203="","",'1-Turizm Rehberliği'!C203))</f>
        <v/>
      </c>
      <c r="E206" s="28" t="str">
        <f aca="false">IF($A206="","",$A206&amp;"-"&amp;$D206)</f>
        <v/>
      </c>
      <c r="F206" s="28" t="str">
        <f aca="false">IF($A206="","",IF('1-Turizm Rehberliği'!D203="","",'1-Turizm Rehberliği'!D203))</f>
        <v/>
      </c>
      <c r="G206" s="28" t="str">
        <f aca="false">IF($A206="","",IF('1-Turizm Rehberliği'!E203="","",'1-Turizm Rehberliği'!E203))</f>
        <v/>
      </c>
      <c r="H206" s="28" t="str">
        <f aca="false">IF($A206="","",IF('1-Turizm Rehberliği'!F203="","",'1-Turizm Rehberliği'!F203))</f>
        <v/>
      </c>
      <c r="I206" s="28" t="str">
        <f aca="false">IF($A206="","",IF('1-Turizm Rehberliği'!G203="","",'1-Turizm Rehberliği'!G203))</f>
        <v/>
      </c>
      <c r="J206" s="28" t="str">
        <f aca="false">IF($A206="","",IF('1-Turizm Rehberliği'!H203="","",'1-Turizm Rehberliği'!H203))</f>
        <v/>
      </c>
      <c r="K206" s="28" t="str">
        <f aca="false">IF($A206="","",IF('1-Turizm Rehberliği'!I203="","",'1-Turizm Rehberliği'!I203))</f>
        <v/>
      </c>
      <c r="L206" s="28" t="str">
        <f aca="false">IF($I206="","",MATCH($I206,{"08.00";"09.00";"10.00";"11.00";"12.00";"13.00";"14.00";"15.00";"16.00";"17.00"},0))</f>
        <v/>
      </c>
      <c r="M206" s="28" t="str">
        <f aca="false">IF(OR($L206="",$J206=""),"",$L206+$J206-1)</f>
        <v/>
      </c>
      <c r="N206" s="28" t="str">
        <f aca="false">IF($A206="","",IF(OR($L206="",$M206=""),"",IF($M206&gt;10,"⚠ Saat Taşıyor","")))</f>
        <v/>
      </c>
      <c r="O206" s="28" t="str">
        <f aca="false">IF($A206="","",IF(OR($G206="",$H206="",$L206=""),"",IF(SUMPRODUCT(($A$7:$A$606&lt;&gt;"")*($G$7:$G$606=$G206)*($H$7:$H$606=$H206)*(ROW($A$7:$A$606)&lt;&gt;206)*($L$7:$L$606&lt;=$M206)*($M$7:$M$606&gt;=$L206))&gt;0,"⚠ Çakışma","OK")))</f>
        <v/>
      </c>
      <c r="P206" s="28" t="str">
        <f aca="false">IF($A206="","",IF(OR($K206="",$H206="",$L206=""),"",IF(SUMPRODUCT(($A$7:$A$606&lt;&gt;"")*($K$7:$K$606=$K206)*($H$7:$H$606=$H206)*(ROW($A$7:$A$606)&lt;&gt;206)*($L$7:$L$606&lt;=$M206)*($M$7:$M$606&gt;=$L206))&gt;0,"⚠ Çakışma","OK")))</f>
        <v/>
      </c>
      <c r="Q206" s="28" t="str">
        <f aca="false">IF($A206="","",IF(OR($E206="",$H206="",$L206=""),"",IF(SUMPRODUCT(($A$7:$A$606&lt;&gt;"")*($E$7:$E$606=$E206)*($H$7:$H$606=$H206)*(ROW($A$7:$A$606)&lt;&gt;206)*($L$7:$L$606&lt;=$M206)*($M$7:$M$606&gt;=$L206))&gt;0,"⚠ Çakışma","OK")))</f>
        <v/>
      </c>
      <c r="R206" s="28" t="str">
        <f aca="false">IF($A206="","",IF(OR($N206&lt;&gt;"",$O206="⚠ Çakışma",$P206="⚠ Çakışma",$Q206="⚠ Çakışma"),"⚠ Kontrol Et","✓ Uygun"))</f>
        <v/>
      </c>
    </row>
    <row r="207" customFormat="false" ht="13.5" hidden="false" customHeight="true" outlineLevel="0" collapsed="false">
      <c r="A207" s="30" t="str">
        <f aca="false">IF('2-Gastronomi'!A4="","","Gastronomi ve Mutfak Sanatları")</f>
        <v/>
      </c>
      <c r="B207" s="30" t="str">
        <f aca="false">IF($A207="","",IF('2-Gastronomi'!A4="","",'2-Gastronomi'!A4))</f>
        <v/>
      </c>
      <c r="C207" s="31" t="str">
        <f aca="false">IF($A207="","",IF('2-Gastronomi'!B4="","",'2-Gastronomi'!B4))</f>
        <v/>
      </c>
      <c r="D207" s="30" t="str">
        <f aca="false">IF($A207="","",IF('2-Gastronomi'!C4="","",'2-Gastronomi'!C4))</f>
        <v/>
      </c>
      <c r="E207" s="30" t="str">
        <f aca="false">IF($A207="","",$A207&amp;"-"&amp;$D207)</f>
        <v/>
      </c>
      <c r="F207" s="30" t="str">
        <f aca="false">IF($A207="","",IF('2-Gastronomi'!D4="","",'2-Gastronomi'!D4))</f>
        <v/>
      </c>
      <c r="G207" s="30" t="str">
        <f aca="false">IF($A207="","",IF('2-Gastronomi'!E4="","",'2-Gastronomi'!E4))</f>
        <v/>
      </c>
      <c r="H207" s="30" t="str">
        <f aca="false">IF($A207="","",IF('2-Gastronomi'!F4="","",'2-Gastronomi'!F4))</f>
        <v/>
      </c>
      <c r="I207" s="30" t="str">
        <f aca="false">IF($A207="","",IF('2-Gastronomi'!G4="","",'2-Gastronomi'!G4))</f>
        <v/>
      </c>
      <c r="J207" s="30" t="str">
        <f aca="false">IF($A207="","",IF('2-Gastronomi'!H4="","",'2-Gastronomi'!H4))</f>
        <v/>
      </c>
      <c r="K207" s="30" t="str">
        <f aca="false">IF($A207="","",IF('2-Gastronomi'!I4="","",'2-Gastronomi'!I4))</f>
        <v/>
      </c>
      <c r="L207" s="30" t="str">
        <f aca="false">IF($I207="","",MATCH($I207,{"08.00";"09.00";"10.00";"11.00";"12.00";"13.00";"14.00";"15.00";"16.00";"17.00"},0))</f>
        <v/>
      </c>
      <c r="M207" s="30" t="str">
        <f aca="false">IF(OR($L207="",$J207=""),"",$L207+$J207-1)</f>
        <v/>
      </c>
      <c r="N207" s="30" t="str">
        <f aca="false">IF($A207="","",IF(OR($L207="",$M207=""),"",IF($M207&gt;10,"⚠ Saat Taşıyor","")))</f>
        <v/>
      </c>
      <c r="O207" s="30" t="str">
        <f aca="false">IF($A207="","",IF(OR($G207="",$H207="",$L207=""),"",IF(SUMPRODUCT(($A$7:$A$606&lt;&gt;"")*($G$7:$G$606=$G207)*($H$7:$H$606=$H207)*(ROW($A$7:$A$606)&lt;&gt;207)*($L$7:$L$606&lt;=$M207)*($M$7:$M$606&gt;=$L207))&gt;0,"⚠ Çakışma","OK")))</f>
        <v/>
      </c>
      <c r="P207" s="30" t="str">
        <f aca="false">IF($A207="","",IF(OR($K207="",$H207="",$L207=""),"",IF(SUMPRODUCT(($A$7:$A$606&lt;&gt;"")*($K$7:$K$606=$K207)*($H$7:$H$606=$H207)*(ROW($A$7:$A$606)&lt;&gt;207)*($L$7:$L$606&lt;=$M207)*($M$7:$M$606&gt;=$L207))&gt;0,"⚠ Çakışma","OK")))</f>
        <v/>
      </c>
      <c r="Q207" s="30" t="str">
        <f aca="false">IF($A207="","",IF(OR($E207="",$H207="",$L207=""),"",IF(SUMPRODUCT(($A$7:$A$606&lt;&gt;"")*($E$7:$E$606=$E207)*($H$7:$H$606=$H207)*(ROW($A$7:$A$606)&lt;&gt;207)*($L$7:$L$606&lt;=$M207)*($M$7:$M$606&gt;=$L207))&gt;0,"⚠ Çakışma","OK")))</f>
        <v/>
      </c>
      <c r="R207" s="30" t="str">
        <f aca="false">IF($A207="","",IF(OR($N207&lt;&gt;"",$O207="⚠ Çakışma",$P207="⚠ Çakışma",$Q207="⚠ Çakışma"),"⚠ Kontrol Et","✓ Uygun"))</f>
        <v/>
      </c>
    </row>
    <row r="208" customFormat="false" ht="13.5" hidden="false" customHeight="true" outlineLevel="0" collapsed="false">
      <c r="A208" s="32" t="str">
        <f aca="false">IF('2-Gastronomi'!A5="","","Gastronomi ve Mutfak Sanatları")</f>
        <v/>
      </c>
      <c r="B208" s="32" t="str">
        <f aca="false">IF($A208="","",IF('2-Gastronomi'!A5="","",'2-Gastronomi'!A5))</f>
        <v/>
      </c>
      <c r="C208" s="33" t="str">
        <f aca="false">IF($A208="","",IF('2-Gastronomi'!B5="","",'2-Gastronomi'!B5))</f>
        <v/>
      </c>
      <c r="D208" s="32" t="str">
        <f aca="false">IF($A208="","",IF('2-Gastronomi'!C5="","",'2-Gastronomi'!C5))</f>
        <v/>
      </c>
      <c r="E208" s="32" t="str">
        <f aca="false">IF($A208="","",$A208&amp;"-"&amp;$D208)</f>
        <v/>
      </c>
      <c r="F208" s="32" t="str">
        <f aca="false">IF($A208="","",IF('2-Gastronomi'!D5="","",'2-Gastronomi'!D5))</f>
        <v/>
      </c>
      <c r="G208" s="32" t="str">
        <f aca="false">IF($A208="","",IF('2-Gastronomi'!E5="","",'2-Gastronomi'!E5))</f>
        <v/>
      </c>
      <c r="H208" s="32" t="str">
        <f aca="false">IF($A208="","",IF('2-Gastronomi'!F5="","",'2-Gastronomi'!F5))</f>
        <v/>
      </c>
      <c r="I208" s="32" t="str">
        <f aca="false">IF($A208="","",IF('2-Gastronomi'!G5="","",'2-Gastronomi'!G5))</f>
        <v/>
      </c>
      <c r="J208" s="32" t="str">
        <f aca="false">IF($A208="","",IF('2-Gastronomi'!H5="","",'2-Gastronomi'!H5))</f>
        <v/>
      </c>
      <c r="K208" s="32" t="str">
        <f aca="false">IF($A208="","",IF('2-Gastronomi'!I5="","",'2-Gastronomi'!I5))</f>
        <v/>
      </c>
      <c r="L208" s="32" t="str">
        <f aca="false">IF($I208="","",MATCH($I208,{"08.00";"09.00";"10.00";"11.00";"12.00";"13.00";"14.00";"15.00";"16.00";"17.00"},0))</f>
        <v/>
      </c>
      <c r="M208" s="32" t="str">
        <f aca="false">IF(OR($L208="",$J208=""),"",$L208+$J208-1)</f>
        <v/>
      </c>
      <c r="N208" s="32" t="str">
        <f aca="false">IF($A208="","",IF(OR($L208="",$M208=""),"",IF($M208&gt;10,"⚠ Saat Taşıyor","")))</f>
        <v/>
      </c>
      <c r="O208" s="32" t="str">
        <f aca="false">IF($A208="","",IF(OR($G208="",$H208="",$L208=""),"",IF(SUMPRODUCT(($A$7:$A$606&lt;&gt;"")*($G$7:$G$606=$G208)*($H$7:$H$606=$H208)*(ROW($A$7:$A$606)&lt;&gt;208)*($L$7:$L$606&lt;=$M208)*($M$7:$M$606&gt;=$L208))&gt;0,"⚠ Çakışma","OK")))</f>
        <v/>
      </c>
      <c r="P208" s="32" t="str">
        <f aca="false">IF($A208="","",IF(OR($K208="",$H208="",$L208=""),"",IF(SUMPRODUCT(($A$7:$A$606&lt;&gt;"")*($K$7:$K$606=$K208)*($H$7:$H$606=$H208)*(ROW($A$7:$A$606)&lt;&gt;208)*($L$7:$L$606&lt;=$M208)*($M$7:$M$606&gt;=$L208))&gt;0,"⚠ Çakışma","OK")))</f>
        <v/>
      </c>
      <c r="Q208" s="32" t="str">
        <f aca="false">IF($A208="","",IF(OR($E208="",$H208="",$L208=""),"",IF(SUMPRODUCT(($A$7:$A$606&lt;&gt;"")*($E$7:$E$606=$E208)*($H$7:$H$606=$H208)*(ROW($A$7:$A$606)&lt;&gt;208)*($L$7:$L$606&lt;=$M208)*($M$7:$M$606&gt;=$L208))&gt;0,"⚠ Çakışma","OK")))</f>
        <v/>
      </c>
      <c r="R208" s="32" t="str">
        <f aca="false">IF($A208="","",IF(OR($N208&lt;&gt;"",$O208="⚠ Çakışma",$P208="⚠ Çakışma",$Q208="⚠ Çakışma"),"⚠ Kontrol Et","✓ Uygun"))</f>
        <v/>
      </c>
    </row>
    <row r="209" customFormat="false" ht="13.5" hidden="false" customHeight="true" outlineLevel="0" collapsed="false">
      <c r="A209" s="32" t="str">
        <f aca="false">IF('2-Gastronomi'!A6="","","Gastronomi ve Mutfak Sanatları")</f>
        <v/>
      </c>
      <c r="B209" s="32" t="str">
        <f aca="false">IF($A209="","",IF('2-Gastronomi'!A6="","",'2-Gastronomi'!A6))</f>
        <v/>
      </c>
      <c r="C209" s="33" t="str">
        <f aca="false">IF($A209="","",IF('2-Gastronomi'!B6="","",'2-Gastronomi'!B6))</f>
        <v/>
      </c>
      <c r="D209" s="32" t="str">
        <f aca="false">IF($A209="","",IF('2-Gastronomi'!C6="","",'2-Gastronomi'!C6))</f>
        <v/>
      </c>
      <c r="E209" s="32" t="str">
        <f aca="false">IF($A209="","",$A209&amp;"-"&amp;$D209)</f>
        <v/>
      </c>
      <c r="F209" s="32" t="str">
        <f aca="false">IF($A209="","",IF('2-Gastronomi'!D6="","",'2-Gastronomi'!D6))</f>
        <v/>
      </c>
      <c r="G209" s="32" t="str">
        <f aca="false">IF($A209="","",IF('2-Gastronomi'!E6="","",'2-Gastronomi'!E6))</f>
        <v/>
      </c>
      <c r="H209" s="32" t="str">
        <f aca="false">IF($A209="","",IF('2-Gastronomi'!F6="","",'2-Gastronomi'!F6))</f>
        <v/>
      </c>
      <c r="I209" s="32" t="str">
        <f aca="false">IF($A209="","",IF('2-Gastronomi'!G6="","",'2-Gastronomi'!G6))</f>
        <v/>
      </c>
      <c r="J209" s="32" t="str">
        <f aca="false">IF($A209="","",IF('2-Gastronomi'!H6="","",'2-Gastronomi'!H6))</f>
        <v/>
      </c>
      <c r="K209" s="32" t="str">
        <f aca="false">IF($A209="","",IF('2-Gastronomi'!I6="","",'2-Gastronomi'!I6))</f>
        <v/>
      </c>
      <c r="L209" s="32" t="str">
        <f aca="false">IF($I209="","",MATCH($I209,{"08.00";"09.00";"10.00";"11.00";"12.00";"13.00";"14.00";"15.00";"16.00";"17.00"},0))</f>
        <v/>
      </c>
      <c r="M209" s="32" t="str">
        <f aca="false">IF(OR($L209="",$J209=""),"",$L209+$J209-1)</f>
        <v/>
      </c>
      <c r="N209" s="32" t="str">
        <f aca="false">IF($A209="","",IF(OR($L209="",$M209=""),"",IF($M209&gt;10,"⚠ Saat Taşıyor","")))</f>
        <v/>
      </c>
      <c r="O209" s="32" t="str">
        <f aca="false">IF($A209="","",IF(OR($G209="",$H209="",$L209=""),"",IF(SUMPRODUCT(($A$7:$A$606&lt;&gt;"")*($G$7:$G$606=$G209)*($H$7:$H$606=$H209)*(ROW($A$7:$A$606)&lt;&gt;209)*($L$7:$L$606&lt;=$M209)*($M$7:$M$606&gt;=$L209))&gt;0,"⚠ Çakışma","OK")))</f>
        <v/>
      </c>
      <c r="P209" s="32" t="str">
        <f aca="false">IF($A209="","",IF(OR($K209="",$H209="",$L209=""),"",IF(SUMPRODUCT(($A$7:$A$606&lt;&gt;"")*($K$7:$K$606=$K209)*($H$7:$H$606=$H209)*(ROW($A$7:$A$606)&lt;&gt;209)*($L$7:$L$606&lt;=$M209)*($M$7:$M$606&gt;=$L209))&gt;0,"⚠ Çakışma","OK")))</f>
        <v/>
      </c>
      <c r="Q209" s="32" t="str">
        <f aca="false">IF($A209="","",IF(OR($E209="",$H209="",$L209=""),"",IF(SUMPRODUCT(($A$7:$A$606&lt;&gt;"")*($E$7:$E$606=$E209)*($H$7:$H$606=$H209)*(ROW($A$7:$A$606)&lt;&gt;209)*($L$7:$L$606&lt;=$M209)*($M$7:$M$606&gt;=$L209))&gt;0,"⚠ Çakışma","OK")))</f>
        <v/>
      </c>
      <c r="R209" s="32" t="str">
        <f aca="false">IF($A209="","",IF(OR($N209&lt;&gt;"",$O209="⚠ Çakışma",$P209="⚠ Çakışma",$Q209="⚠ Çakışma"),"⚠ Kontrol Et","✓ Uygun"))</f>
        <v/>
      </c>
    </row>
    <row r="210" customFormat="false" ht="13.5" hidden="false" customHeight="true" outlineLevel="0" collapsed="false">
      <c r="A210" s="32" t="str">
        <f aca="false">IF('2-Gastronomi'!A7="","","Gastronomi ve Mutfak Sanatları")</f>
        <v/>
      </c>
      <c r="B210" s="32" t="str">
        <f aca="false">IF($A210="","",IF('2-Gastronomi'!A7="","",'2-Gastronomi'!A7))</f>
        <v/>
      </c>
      <c r="C210" s="33" t="str">
        <f aca="false">IF($A210="","",IF('2-Gastronomi'!B7="","",'2-Gastronomi'!B7))</f>
        <v/>
      </c>
      <c r="D210" s="32" t="str">
        <f aca="false">IF($A210="","",IF('2-Gastronomi'!C7="","",'2-Gastronomi'!C7))</f>
        <v/>
      </c>
      <c r="E210" s="32" t="str">
        <f aca="false">IF($A210="","",$A210&amp;"-"&amp;$D210)</f>
        <v/>
      </c>
      <c r="F210" s="32" t="str">
        <f aca="false">IF($A210="","",IF('2-Gastronomi'!D7="","",'2-Gastronomi'!D7))</f>
        <v/>
      </c>
      <c r="G210" s="32" t="str">
        <f aca="false">IF($A210="","",IF('2-Gastronomi'!E7="","",'2-Gastronomi'!E7))</f>
        <v/>
      </c>
      <c r="H210" s="32" t="str">
        <f aca="false">IF($A210="","",IF('2-Gastronomi'!F7="","",'2-Gastronomi'!F7))</f>
        <v/>
      </c>
      <c r="I210" s="32" t="str">
        <f aca="false">IF($A210="","",IF('2-Gastronomi'!G7="","",'2-Gastronomi'!G7))</f>
        <v/>
      </c>
      <c r="J210" s="32" t="str">
        <f aca="false">IF($A210="","",IF('2-Gastronomi'!H7="","",'2-Gastronomi'!H7))</f>
        <v/>
      </c>
      <c r="K210" s="32" t="str">
        <f aca="false">IF($A210="","",IF('2-Gastronomi'!I7="","",'2-Gastronomi'!I7))</f>
        <v/>
      </c>
      <c r="L210" s="32" t="str">
        <f aca="false">IF($I210="","",MATCH($I210,{"08.00";"09.00";"10.00";"11.00";"12.00";"13.00";"14.00";"15.00";"16.00";"17.00"},0))</f>
        <v/>
      </c>
      <c r="M210" s="32" t="str">
        <f aca="false">IF(OR($L210="",$J210=""),"",$L210+$J210-1)</f>
        <v/>
      </c>
      <c r="N210" s="32" t="str">
        <f aca="false">IF($A210="","",IF(OR($L210="",$M210=""),"",IF($M210&gt;10,"⚠ Saat Taşıyor","")))</f>
        <v/>
      </c>
      <c r="O210" s="32" t="str">
        <f aca="false">IF($A210="","",IF(OR($G210="",$H210="",$L210=""),"",IF(SUMPRODUCT(($A$7:$A$606&lt;&gt;"")*($G$7:$G$606=$G210)*($H$7:$H$606=$H210)*(ROW($A$7:$A$606)&lt;&gt;210)*($L$7:$L$606&lt;=$M210)*($M$7:$M$606&gt;=$L210))&gt;0,"⚠ Çakışma","OK")))</f>
        <v/>
      </c>
      <c r="P210" s="32" t="str">
        <f aca="false">IF($A210="","",IF(OR($K210="",$H210="",$L210=""),"",IF(SUMPRODUCT(($A$7:$A$606&lt;&gt;"")*($K$7:$K$606=$K210)*($H$7:$H$606=$H210)*(ROW($A$7:$A$606)&lt;&gt;210)*($L$7:$L$606&lt;=$M210)*($M$7:$M$606&gt;=$L210))&gt;0,"⚠ Çakışma","OK")))</f>
        <v/>
      </c>
      <c r="Q210" s="32" t="str">
        <f aca="false">IF($A210="","",IF(OR($E210="",$H210="",$L210=""),"",IF(SUMPRODUCT(($A$7:$A$606&lt;&gt;"")*($E$7:$E$606=$E210)*($H$7:$H$606=$H210)*(ROW($A$7:$A$606)&lt;&gt;210)*($L$7:$L$606&lt;=$M210)*($M$7:$M$606&gt;=$L210))&gt;0,"⚠ Çakışma","OK")))</f>
        <v/>
      </c>
      <c r="R210" s="32" t="str">
        <f aca="false">IF($A210="","",IF(OR($N210&lt;&gt;"",$O210="⚠ Çakışma",$P210="⚠ Çakışma",$Q210="⚠ Çakışma"),"⚠ Kontrol Et","✓ Uygun"))</f>
        <v/>
      </c>
    </row>
    <row r="211" customFormat="false" ht="13.5" hidden="false" customHeight="true" outlineLevel="0" collapsed="false">
      <c r="A211" s="32" t="str">
        <f aca="false">IF('2-Gastronomi'!A8="","","Gastronomi ve Mutfak Sanatları")</f>
        <v/>
      </c>
      <c r="B211" s="32" t="str">
        <f aca="false">IF($A211="","",IF('2-Gastronomi'!A8="","",'2-Gastronomi'!A8))</f>
        <v/>
      </c>
      <c r="C211" s="33" t="str">
        <f aca="false">IF($A211="","",IF('2-Gastronomi'!B8="","",'2-Gastronomi'!B8))</f>
        <v/>
      </c>
      <c r="D211" s="32" t="str">
        <f aca="false">IF($A211="","",IF('2-Gastronomi'!C8="","",'2-Gastronomi'!C8))</f>
        <v/>
      </c>
      <c r="E211" s="32" t="str">
        <f aca="false">IF($A211="","",$A211&amp;"-"&amp;$D211)</f>
        <v/>
      </c>
      <c r="F211" s="32" t="str">
        <f aca="false">IF($A211="","",IF('2-Gastronomi'!D8="","",'2-Gastronomi'!D8))</f>
        <v/>
      </c>
      <c r="G211" s="32" t="str">
        <f aca="false">IF($A211="","",IF('2-Gastronomi'!E8="","",'2-Gastronomi'!E8))</f>
        <v/>
      </c>
      <c r="H211" s="32" t="str">
        <f aca="false">IF($A211="","",IF('2-Gastronomi'!F8="","",'2-Gastronomi'!F8))</f>
        <v/>
      </c>
      <c r="I211" s="32" t="str">
        <f aca="false">IF($A211="","",IF('2-Gastronomi'!G8="","",'2-Gastronomi'!G8))</f>
        <v/>
      </c>
      <c r="J211" s="32" t="str">
        <f aca="false">IF($A211="","",IF('2-Gastronomi'!H8="","",'2-Gastronomi'!H8))</f>
        <v/>
      </c>
      <c r="K211" s="32" t="str">
        <f aca="false">IF($A211="","",IF('2-Gastronomi'!I8="","",'2-Gastronomi'!I8))</f>
        <v/>
      </c>
      <c r="L211" s="32" t="str">
        <f aca="false">IF($I211="","",MATCH($I211,{"08.00";"09.00";"10.00";"11.00";"12.00";"13.00";"14.00";"15.00";"16.00";"17.00"},0))</f>
        <v/>
      </c>
      <c r="M211" s="32" t="str">
        <f aca="false">IF(OR($L211="",$J211=""),"",$L211+$J211-1)</f>
        <v/>
      </c>
      <c r="N211" s="32" t="str">
        <f aca="false">IF($A211="","",IF(OR($L211="",$M211=""),"",IF($M211&gt;10,"⚠ Saat Taşıyor","")))</f>
        <v/>
      </c>
      <c r="O211" s="32" t="str">
        <f aca="false">IF($A211="","",IF(OR($G211="",$H211="",$L211=""),"",IF(SUMPRODUCT(($A$7:$A$606&lt;&gt;"")*($G$7:$G$606=$G211)*($H$7:$H$606=$H211)*(ROW($A$7:$A$606)&lt;&gt;211)*($L$7:$L$606&lt;=$M211)*($M$7:$M$606&gt;=$L211))&gt;0,"⚠ Çakışma","OK")))</f>
        <v/>
      </c>
      <c r="P211" s="32" t="str">
        <f aca="false">IF($A211="","",IF(OR($K211="",$H211="",$L211=""),"",IF(SUMPRODUCT(($A$7:$A$606&lt;&gt;"")*($K$7:$K$606=$K211)*($H$7:$H$606=$H211)*(ROW($A$7:$A$606)&lt;&gt;211)*($L$7:$L$606&lt;=$M211)*($M$7:$M$606&gt;=$L211))&gt;0,"⚠ Çakışma","OK")))</f>
        <v/>
      </c>
      <c r="Q211" s="32" t="str">
        <f aca="false">IF($A211="","",IF(OR($E211="",$H211="",$L211=""),"",IF(SUMPRODUCT(($A$7:$A$606&lt;&gt;"")*($E$7:$E$606=$E211)*($H$7:$H$606=$H211)*(ROW($A$7:$A$606)&lt;&gt;211)*($L$7:$L$606&lt;=$M211)*($M$7:$M$606&gt;=$L211))&gt;0,"⚠ Çakışma","OK")))</f>
        <v/>
      </c>
      <c r="R211" s="32" t="str">
        <f aca="false">IF($A211="","",IF(OR($N211&lt;&gt;"",$O211="⚠ Çakışma",$P211="⚠ Çakışma",$Q211="⚠ Çakışma"),"⚠ Kontrol Et","✓ Uygun"))</f>
        <v/>
      </c>
    </row>
    <row r="212" customFormat="false" ht="13.5" hidden="false" customHeight="true" outlineLevel="0" collapsed="false">
      <c r="A212" s="32" t="str">
        <f aca="false">IF('2-Gastronomi'!A9="","","Gastronomi ve Mutfak Sanatları")</f>
        <v/>
      </c>
      <c r="B212" s="32" t="str">
        <f aca="false">IF($A212="","",IF('2-Gastronomi'!A9="","",'2-Gastronomi'!A9))</f>
        <v/>
      </c>
      <c r="C212" s="33" t="str">
        <f aca="false">IF($A212="","",IF('2-Gastronomi'!B9="","",'2-Gastronomi'!B9))</f>
        <v/>
      </c>
      <c r="D212" s="32" t="str">
        <f aca="false">IF($A212="","",IF('2-Gastronomi'!C9="","",'2-Gastronomi'!C9))</f>
        <v/>
      </c>
      <c r="E212" s="32" t="str">
        <f aca="false">IF($A212="","",$A212&amp;"-"&amp;$D212)</f>
        <v/>
      </c>
      <c r="F212" s="32" t="str">
        <f aca="false">IF($A212="","",IF('2-Gastronomi'!D9="","",'2-Gastronomi'!D9))</f>
        <v/>
      </c>
      <c r="G212" s="32" t="str">
        <f aca="false">IF($A212="","",IF('2-Gastronomi'!E9="","",'2-Gastronomi'!E9))</f>
        <v/>
      </c>
      <c r="H212" s="32" t="str">
        <f aca="false">IF($A212="","",IF('2-Gastronomi'!F9="","",'2-Gastronomi'!F9))</f>
        <v/>
      </c>
      <c r="I212" s="32" t="str">
        <f aca="false">IF($A212="","",IF('2-Gastronomi'!G9="","",'2-Gastronomi'!G9))</f>
        <v/>
      </c>
      <c r="J212" s="32" t="str">
        <f aca="false">IF($A212="","",IF('2-Gastronomi'!H9="","",'2-Gastronomi'!H9))</f>
        <v/>
      </c>
      <c r="K212" s="32" t="str">
        <f aca="false">IF($A212="","",IF('2-Gastronomi'!I9="","",'2-Gastronomi'!I9))</f>
        <v/>
      </c>
      <c r="L212" s="32" t="str">
        <f aca="false">IF($I212="","",MATCH($I212,{"08.00";"09.00";"10.00";"11.00";"12.00";"13.00";"14.00";"15.00";"16.00";"17.00"},0))</f>
        <v/>
      </c>
      <c r="M212" s="32" t="str">
        <f aca="false">IF(OR($L212="",$J212=""),"",$L212+$J212-1)</f>
        <v/>
      </c>
      <c r="N212" s="32" t="str">
        <f aca="false">IF($A212="","",IF(OR($L212="",$M212=""),"",IF($M212&gt;10,"⚠ Saat Taşıyor","")))</f>
        <v/>
      </c>
      <c r="O212" s="32" t="str">
        <f aca="false">IF($A212="","",IF(OR($G212="",$H212="",$L212=""),"",IF(SUMPRODUCT(($A$7:$A$606&lt;&gt;"")*($G$7:$G$606=$G212)*($H$7:$H$606=$H212)*(ROW($A$7:$A$606)&lt;&gt;212)*($L$7:$L$606&lt;=$M212)*($M$7:$M$606&gt;=$L212))&gt;0,"⚠ Çakışma","OK")))</f>
        <v/>
      </c>
      <c r="P212" s="32" t="str">
        <f aca="false">IF($A212="","",IF(OR($K212="",$H212="",$L212=""),"",IF(SUMPRODUCT(($A$7:$A$606&lt;&gt;"")*($K$7:$K$606=$K212)*($H$7:$H$606=$H212)*(ROW($A$7:$A$606)&lt;&gt;212)*($L$7:$L$606&lt;=$M212)*($M$7:$M$606&gt;=$L212))&gt;0,"⚠ Çakışma","OK")))</f>
        <v/>
      </c>
      <c r="Q212" s="32" t="str">
        <f aca="false">IF($A212="","",IF(OR($E212="",$H212="",$L212=""),"",IF(SUMPRODUCT(($A$7:$A$606&lt;&gt;"")*($E$7:$E$606=$E212)*($H$7:$H$606=$H212)*(ROW($A$7:$A$606)&lt;&gt;212)*($L$7:$L$606&lt;=$M212)*($M$7:$M$606&gt;=$L212))&gt;0,"⚠ Çakışma","OK")))</f>
        <v/>
      </c>
      <c r="R212" s="32" t="str">
        <f aca="false">IF($A212="","",IF(OR($N212&lt;&gt;"",$O212="⚠ Çakışma",$P212="⚠ Çakışma",$Q212="⚠ Çakışma"),"⚠ Kontrol Et","✓ Uygun"))</f>
        <v/>
      </c>
    </row>
    <row r="213" customFormat="false" ht="13.5" hidden="false" customHeight="true" outlineLevel="0" collapsed="false">
      <c r="A213" s="32" t="str">
        <f aca="false">IF('2-Gastronomi'!A10="","","Gastronomi ve Mutfak Sanatları")</f>
        <v/>
      </c>
      <c r="B213" s="32" t="str">
        <f aca="false">IF($A213="","",IF('2-Gastronomi'!A10="","",'2-Gastronomi'!A10))</f>
        <v/>
      </c>
      <c r="C213" s="33" t="str">
        <f aca="false">IF($A213="","",IF('2-Gastronomi'!B10="","",'2-Gastronomi'!B10))</f>
        <v/>
      </c>
      <c r="D213" s="32" t="str">
        <f aca="false">IF($A213="","",IF('2-Gastronomi'!C10="","",'2-Gastronomi'!C10))</f>
        <v/>
      </c>
      <c r="E213" s="32" t="str">
        <f aca="false">IF($A213="","",$A213&amp;"-"&amp;$D213)</f>
        <v/>
      </c>
      <c r="F213" s="32" t="str">
        <f aca="false">IF($A213="","",IF('2-Gastronomi'!D10="","",'2-Gastronomi'!D10))</f>
        <v/>
      </c>
      <c r="G213" s="32" t="str">
        <f aca="false">IF($A213="","",IF('2-Gastronomi'!E10="","",'2-Gastronomi'!E10))</f>
        <v/>
      </c>
      <c r="H213" s="32" t="str">
        <f aca="false">IF($A213="","",IF('2-Gastronomi'!F10="","",'2-Gastronomi'!F10))</f>
        <v/>
      </c>
      <c r="I213" s="32" t="str">
        <f aca="false">IF($A213="","",IF('2-Gastronomi'!G10="","",'2-Gastronomi'!G10))</f>
        <v/>
      </c>
      <c r="J213" s="32" t="str">
        <f aca="false">IF($A213="","",IF('2-Gastronomi'!H10="","",'2-Gastronomi'!H10))</f>
        <v/>
      </c>
      <c r="K213" s="32" t="str">
        <f aca="false">IF($A213="","",IF('2-Gastronomi'!I10="","",'2-Gastronomi'!I10))</f>
        <v/>
      </c>
      <c r="L213" s="32" t="str">
        <f aca="false">IF($I213="","",MATCH($I213,{"08.00";"09.00";"10.00";"11.00";"12.00";"13.00";"14.00";"15.00";"16.00";"17.00"},0))</f>
        <v/>
      </c>
      <c r="M213" s="32" t="str">
        <f aca="false">IF(OR($L213="",$J213=""),"",$L213+$J213-1)</f>
        <v/>
      </c>
      <c r="N213" s="32" t="str">
        <f aca="false">IF($A213="","",IF(OR($L213="",$M213=""),"",IF($M213&gt;10,"⚠ Saat Taşıyor","")))</f>
        <v/>
      </c>
      <c r="O213" s="32" t="str">
        <f aca="false">IF($A213="","",IF(OR($G213="",$H213="",$L213=""),"",IF(SUMPRODUCT(($A$7:$A$606&lt;&gt;"")*($G$7:$G$606=$G213)*($H$7:$H$606=$H213)*(ROW($A$7:$A$606)&lt;&gt;213)*($L$7:$L$606&lt;=$M213)*($M$7:$M$606&gt;=$L213))&gt;0,"⚠ Çakışma","OK")))</f>
        <v/>
      </c>
      <c r="P213" s="32" t="str">
        <f aca="false">IF($A213="","",IF(OR($K213="",$H213="",$L213=""),"",IF(SUMPRODUCT(($A$7:$A$606&lt;&gt;"")*($K$7:$K$606=$K213)*($H$7:$H$606=$H213)*(ROW($A$7:$A$606)&lt;&gt;213)*($L$7:$L$606&lt;=$M213)*($M$7:$M$606&gt;=$L213))&gt;0,"⚠ Çakışma","OK")))</f>
        <v/>
      </c>
      <c r="Q213" s="32" t="str">
        <f aca="false">IF($A213="","",IF(OR($E213="",$H213="",$L213=""),"",IF(SUMPRODUCT(($A$7:$A$606&lt;&gt;"")*($E$7:$E$606=$E213)*($H$7:$H$606=$H213)*(ROW($A$7:$A$606)&lt;&gt;213)*($L$7:$L$606&lt;=$M213)*($M$7:$M$606&gt;=$L213))&gt;0,"⚠ Çakışma","OK")))</f>
        <v/>
      </c>
      <c r="R213" s="32" t="str">
        <f aca="false">IF($A213="","",IF(OR($N213&lt;&gt;"",$O213="⚠ Çakışma",$P213="⚠ Çakışma",$Q213="⚠ Çakışma"),"⚠ Kontrol Et","✓ Uygun"))</f>
        <v/>
      </c>
    </row>
    <row r="214" customFormat="false" ht="13.5" hidden="false" customHeight="true" outlineLevel="0" collapsed="false">
      <c r="A214" s="32" t="str">
        <f aca="false">IF('2-Gastronomi'!A11="","","Gastronomi ve Mutfak Sanatları")</f>
        <v/>
      </c>
      <c r="B214" s="32" t="str">
        <f aca="false">IF($A214="","",IF('2-Gastronomi'!A11="","",'2-Gastronomi'!A11))</f>
        <v/>
      </c>
      <c r="C214" s="33" t="str">
        <f aca="false">IF($A214="","",IF('2-Gastronomi'!B11="","",'2-Gastronomi'!B11))</f>
        <v/>
      </c>
      <c r="D214" s="32" t="str">
        <f aca="false">IF($A214="","",IF('2-Gastronomi'!C11="","",'2-Gastronomi'!C11))</f>
        <v/>
      </c>
      <c r="E214" s="32" t="str">
        <f aca="false">IF($A214="","",$A214&amp;"-"&amp;$D214)</f>
        <v/>
      </c>
      <c r="F214" s="32" t="str">
        <f aca="false">IF($A214="","",IF('2-Gastronomi'!D11="","",'2-Gastronomi'!D11))</f>
        <v/>
      </c>
      <c r="G214" s="32" t="str">
        <f aca="false">IF($A214="","",IF('2-Gastronomi'!E11="","",'2-Gastronomi'!E11))</f>
        <v/>
      </c>
      <c r="H214" s="32" t="str">
        <f aca="false">IF($A214="","",IF('2-Gastronomi'!F11="","",'2-Gastronomi'!F11))</f>
        <v/>
      </c>
      <c r="I214" s="32" t="str">
        <f aca="false">IF($A214="","",IF('2-Gastronomi'!G11="","",'2-Gastronomi'!G11))</f>
        <v/>
      </c>
      <c r="J214" s="32" t="str">
        <f aca="false">IF($A214="","",IF('2-Gastronomi'!H11="","",'2-Gastronomi'!H11))</f>
        <v/>
      </c>
      <c r="K214" s="32" t="str">
        <f aca="false">IF($A214="","",IF('2-Gastronomi'!I11="","",'2-Gastronomi'!I11))</f>
        <v/>
      </c>
      <c r="L214" s="32" t="str">
        <f aca="false">IF($I214="","",MATCH($I214,{"08.00";"09.00";"10.00";"11.00";"12.00";"13.00";"14.00";"15.00";"16.00";"17.00"},0))</f>
        <v/>
      </c>
      <c r="M214" s="32" t="str">
        <f aca="false">IF(OR($L214="",$J214=""),"",$L214+$J214-1)</f>
        <v/>
      </c>
      <c r="N214" s="32" t="str">
        <f aca="false">IF($A214="","",IF(OR($L214="",$M214=""),"",IF($M214&gt;10,"⚠ Saat Taşıyor","")))</f>
        <v/>
      </c>
      <c r="O214" s="32" t="str">
        <f aca="false">IF($A214="","",IF(OR($G214="",$H214="",$L214=""),"",IF(SUMPRODUCT(($A$7:$A$606&lt;&gt;"")*($G$7:$G$606=$G214)*($H$7:$H$606=$H214)*(ROW($A$7:$A$606)&lt;&gt;214)*($L$7:$L$606&lt;=$M214)*($M$7:$M$606&gt;=$L214))&gt;0,"⚠ Çakışma","OK")))</f>
        <v/>
      </c>
      <c r="P214" s="32" t="str">
        <f aca="false">IF($A214="","",IF(OR($K214="",$H214="",$L214=""),"",IF(SUMPRODUCT(($A$7:$A$606&lt;&gt;"")*($K$7:$K$606=$K214)*($H$7:$H$606=$H214)*(ROW($A$7:$A$606)&lt;&gt;214)*($L$7:$L$606&lt;=$M214)*($M$7:$M$606&gt;=$L214))&gt;0,"⚠ Çakışma","OK")))</f>
        <v/>
      </c>
      <c r="Q214" s="32" t="str">
        <f aca="false">IF($A214="","",IF(OR($E214="",$H214="",$L214=""),"",IF(SUMPRODUCT(($A$7:$A$606&lt;&gt;"")*($E$7:$E$606=$E214)*($H$7:$H$606=$H214)*(ROW($A$7:$A$606)&lt;&gt;214)*($L$7:$L$606&lt;=$M214)*($M$7:$M$606&gt;=$L214))&gt;0,"⚠ Çakışma","OK")))</f>
        <v/>
      </c>
      <c r="R214" s="32" t="str">
        <f aca="false">IF($A214="","",IF(OR($N214&lt;&gt;"",$O214="⚠ Çakışma",$P214="⚠ Çakışma",$Q214="⚠ Çakışma"),"⚠ Kontrol Et","✓ Uygun"))</f>
        <v/>
      </c>
    </row>
    <row r="215" customFormat="false" ht="13.5" hidden="false" customHeight="true" outlineLevel="0" collapsed="false">
      <c r="A215" s="32" t="str">
        <f aca="false">IF('2-Gastronomi'!A12="","","Gastronomi ve Mutfak Sanatları")</f>
        <v/>
      </c>
      <c r="B215" s="32" t="str">
        <f aca="false">IF($A215="","",IF('2-Gastronomi'!A12="","",'2-Gastronomi'!A12))</f>
        <v/>
      </c>
      <c r="C215" s="33" t="str">
        <f aca="false">IF($A215="","",IF('2-Gastronomi'!B12="","",'2-Gastronomi'!B12))</f>
        <v/>
      </c>
      <c r="D215" s="32" t="str">
        <f aca="false">IF($A215="","",IF('2-Gastronomi'!C12="","",'2-Gastronomi'!C12))</f>
        <v/>
      </c>
      <c r="E215" s="32" t="str">
        <f aca="false">IF($A215="","",$A215&amp;"-"&amp;$D215)</f>
        <v/>
      </c>
      <c r="F215" s="32" t="str">
        <f aca="false">IF($A215="","",IF('2-Gastronomi'!D12="","",'2-Gastronomi'!D12))</f>
        <v/>
      </c>
      <c r="G215" s="32" t="str">
        <f aca="false">IF($A215="","",IF('2-Gastronomi'!E12="","",'2-Gastronomi'!E12))</f>
        <v/>
      </c>
      <c r="H215" s="32" t="str">
        <f aca="false">IF($A215="","",IF('2-Gastronomi'!F12="","",'2-Gastronomi'!F12))</f>
        <v/>
      </c>
      <c r="I215" s="32" t="str">
        <f aca="false">IF($A215="","",IF('2-Gastronomi'!G12="","",'2-Gastronomi'!G12))</f>
        <v/>
      </c>
      <c r="J215" s="32" t="str">
        <f aca="false">IF($A215="","",IF('2-Gastronomi'!H12="","",'2-Gastronomi'!H12))</f>
        <v/>
      </c>
      <c r="K215" s="32" t="str">
        <f aca="false">IF($A215="","",IF('2-Gastronomi'!I12="","",'2-Gastronomi'!I12))</f>
        <v/>
      </c>
      <c r="L215" s="32" t="str">
        <f aca="false">IF($I215="","",MATCH($I215,{"08.00";"09.00";"10.00";"11.00";"12.00";"13.00";"14.00";"15.00";"16.00";"17.00"},0))</f>
        <v/>
      </c>
      <c r="M215" s="32" t="str">
        <f aca="false">IF(OR($L215="",$J215=""),"",$L215+$J215-1)</f>
        <v/>
      </c>
      <c r="N215" s="32" t="str">
        <f aca="false">IF($A215="","",IF(OR($L215="",$M215=""),"",IF($M215&gt;10,"⚠ Saat Taşıyor","")))</f>
        <v/>
      </c>
      <c r="O215" s="32" t="str">
        <f aca="false">IF($A215="","",IF(OR($G215="",$H215="",$L215=""),"",IF(SUMPRODUCT(($A$7:$A$606&lt;&gt;"")*($G$7:$G$606=$G215)*($H$7:$H$606=$H215)*(ROW($A$7:$A$606)&lt;&gt;215)*($L$7:$L$606&lt;=$M215)*($M$7:$M$606&gt;=$L215))&gt;0,"⚠ Çakışma","OK")))</f>
        <v/>
      </c>
      <c r="P215" s="32" t="str">
        <f aca="false">IF($A215="","",IF(OR($K215="",$H215="",$L215=""),"",IF(SUMPRODUCT(($A$7:$A$606&lt;&gt;"")*($K$7:$K$606=$K215)*($H$7:$H$606=$H215)*(ROW($A$7:$A$606)&lt;&gt;215)*($L$7:$L$606&lt;=$M215)*($M$7:$M$606&gt;=$L215))&gt;0,"⚠ Çakışma","OK")))</f>
        <v/>
      </c>
      <c r="Q215" s="32" t="str">
        <f aca="false">IF($A215="","",IF(OR($E215="",$H215="",$L215=""),"",IF(SUMPRODUCT(($A$7:$A$606&lt;&gt;"")*($E$7:$E$606=$E215)*($H$7:$H$606=$H215)*(ROW($A$7:$A$606)&lt;&gt;215)*($L$7:$L$606&lt;=$M215)*($M$7:$M$606&gt;=$L215))&gt;0,"⚠ Çakışma","OK")))</f>
        <v/>
      </c>
      <c r="R215" s="32" t="str">
        <f aca="false">IF($A215="","",IF(OR($N215&lt;&gt;"",$O215="⚠ Çakışma",$P215="⚠ Çakışma",$Q215="⚠ Çakışma"),"⚠ Kontrol Et","✓ Uygun"))</f>
        <v/>
      </c>
    </row>
    <row r="216" customFormat="false" ht="13.5" hidden="false" customHeight="true" outlineLevel="0" collapsed="false">
      <c r="A216" s="32" t="str">
        <f aca="false">IF('2-Gastronomi'!A13="","","Gastronomi ve Mutfak Sanatları")</f>
        <v/>
      </c>
      <c r="B216" s="32" t="str">
        <f aca="false">IF($A216="","",IF('2-Gastronomi'!A13="","",'2-Gastronomi'!A13))</f>
        <v/>
      </c>
      <c r="C216" s="33" t="str">
        <f aca="false">IF($A216="","",IF('2-Gastronomi'!B13="","",'2-Gastronomi'!B13))</f>
        <v/>
      </c>
      <c r="D216" s="32" t="str">
        <f aca="false">IF($A216="","",IF('2-Gastronomi'!C13="","",'2-Gastronomi'!C13))</f>
        <v/>
      </c>
      <c r="E216" s="32" t="str">
        <f aca="false">IF($A216="","",$A216&amp;"-"&amp;$D216)</f>
        <v/>
      </c>
      <c r="F216" s="32" t="str">
        <f aca="false">IF($A216="","",IF('2-Gastronomi'!D13="","",'2-Gastronomi'!D13))</f>
        <v/>
      </c>
      <c r="G216" s="32" t="str">
        <f aca="false">IF($A216="","",IF('2-Gastronomi'!E13="","",'2-Gastronomi'!E13))</f>
        <v/>
      </c>
      <c r="H216" s="32" t="str">
        <f aca="false">IF($A216="","",IF('2-Gastronomi'!F13="","",'2-Gastronomi'!F13))</f>
        <v/>
      </c>
      <c r="I216" s="32" t="str">
        <f aca="false">IF($A216="","",IF('2-Gastronomi'!G13="","",'2-Gastronomi'!G13))</f>
        <v/>
      </c>
      <c r="J216" s="32" t="str">
        <f aca="false">IF($A216="","",IF('2-Gastronomi'!H13="","",'2-Gastronomi'!H13))</f>
        <v/>
      </c>
      <c r="K216" s="32" t="str">
        <f aca="false">IF($A216="","",IF('2-Gastronomi'!I13="","",'2-Gastronomi'!I13))</f>
        <v/>
      </c>
      <c r="L216" s="32" t="str">
        <f aca="false">IF($I216="","",MATCH($I216,{"08.00";"09.00";"10.00";"11.00";"12.00";"13.00";"14.00";"15.00";"16.00";"17.00"},0))</f>
        <v/>
      </c>
      <c r="M216" s="32" t="str">
        <f aca="false">IF(OR($L216="",$J216=""),"",$L216+$J216-1)</f>
        <v/>
      </c>
      <c r="N216" s="32" t="str">
        <f aca="false">IF($A216="","",IF(OR($L216="",$M216=""),"",IF($M216&gt;10,"⚠ Saat Taşıyor","")))</f>
        <v/>
      </c>
      <c r="O216" s="32" t="str">
        <f aca="false">IF($A216="","",IF(OR($G216="",$H216="",$L216=""),"",IF(SUMPRODUCT(($A$7:$A$606&lt;&gt;"")*($G$7:$G$606=$G216)*($H$7:$H$606=$H216)*(ROW($A$7:$A$606)&lt;&gt;216)*($L$7:$L$606&lt;=$M216)*($M$7:$M$606&gt;=$L216))&gt;0,"⚠ Çakışma","OK")))</f>
        <v/>
      </c>
      <c r="P216" s="32" t="str">
        <f aca="false">IF($A216="","",IF(OR($K216="",$H216="",$L216=""),"",IF(SUMPRODUCT(($A$7:$A$606&lt;&gt;"")*($K$7:$K$606=$K216)*($H$7:$H$606=$H216)*(ROW($A$7:$A$606)&lt;&gt;216)*($L$7:$L$606&lt;=$M216)*($M$7:$M$606&gt;=$L216))&gt;0,"⚠ Çakışma","OK")))</f>
        <v/>
      </c>
      <c r="Q216" s="32" t="str">
        <f aca="false">IF($A216="","",IF(OR($E216="",$H216="",$L216=""),"",IF(SUMPRODUCT(($A$7:$A$606&lt;&gt;"")*($E$7:$E$606=$E216)*($H$7:$H$606=$H216)*(ROW($A$7:$A$606)&lt;&gt;216)*($L$7:$L$606&lt;=$M216)*($M$7:$M$606&gt;=$L216))&gt;0,"⚠ Çakışma","OK")))</f>
        <v/>
      </c>
      <c r="R216" s="32" t="str">
        <f aca="false">IF($A216="","",IF(OR($N216&lt;&gt;"",$O216="⚠ Çakışma",$P216="⚠ Çakışma",$Q216="⚠ Çakışma"),"⚠ Kontrol Et","✓ Uygun"))</f>
        <v/>
      </c>
    </row>
    <row r="217" customFormat="false" ht="13.5" hidden="false" customHeight="true" outlineLevel="0" collapsed="false">
      <c r="A217" s="32" t="str">
        <f aca="false">IF('2-Gastronomi'!A14="","","Gastronomi ve Mutfak Sanatları")</f>
        <v/>
      </c>
      <c r="B217" s="32" t="str">
        <f aca="false">IF($A217="","",IF('2-Gastronomi'!A14="","",'2-Gastronomi'!A14))</f>
        <v/>
      </c>
      <c r="C217" s="33" t="str">
        <f aca="false">IF($A217="","",IF('2-Gastronomi'!B14="","",'2-Gastronomi'!B14))</f>
        <v/>
      </c>
      <c r="D217" s="32" t="str">
        <f aca="false">IF($A217="","",IF('2-Gastronomi'!C14="","",'2-Gastronomi'!C14))</f>
        <v/>
      </c>
      <c r="E217" s="32" t="str">
        <f aca="false">IF($A217="","",$A217&amp;"-"&amp;$D217)</f>
        <v/>
      </c>
      <c r="F217" s="32" t="str">
        <f aca="false">IF($A217="","",IF('2-Gastronomi'!D14="","",'2-Gastronomi'!D14))</f>
        <v/>
      </c>
      <c r="G217" s="32" t="str">
        <f aca="false">IF($A217="","",IF('2-Gastronomi'!E14="","",'2-Gastronomi'!E14))</f>
        <v/>
      </c>
      <c r="H217" s="32" t="str">
        <f aca="false">IF($A217="","",IF('2-Gastronomi'!F14="","",'2-Gastronomi'!F14))</f>
        <v/>
      </c>
      <c r="I217" s="32" t="str">
        <f aca="false">IF($A217="","",IF('2-Gastronomi'!G14="","",'2-Gastronomi'!G14))</f>
        <v/>
      </c>
      <c r="J217" s="32" t="str">
        <f aca="false">IF($A217="","",IF('2-Gastronomi'!H14="","",'2-Gastronomi'!H14))</f>
        <v/>
      </c>
      <c r="K217" s="32" t="str">
        <f aca="false">IF($A217="","",IF('2-Gastronomi'!I14="","",'2-Gastronomi'!I14))</f>
        <v/>
      </c>
      <c r="L217" s="32" t="str">
        <f aca="false">IF($I217="","",MATCH($I217,{"08.00";"09.00";"10.00";"11.00";"12.00";"13.00";"14.00";"15.00";"16.00";"17.00"},0))</f>
        <v/>
      </c>
      <c r="M217" s="32" t="str">
        <f aca="false">IF(OR($L217="",$J217=""),"",$L217+$J217-1)</f>
        <v/>
      </c>
      <c r="N217" s="32" t="str">
        <f aca="false">IF($A217="","",IF(OR($L217="",$M217=""),"",IF($M217&gt;10,"⚠ Saat Taşıyor","")))</f>
        <v/>
      </c>
      <c r="O217" s="32" t="str">
        <f aca="false">IF($A217="","",IF(OR($G217="",$H217="",$L217=""),"",IF(SUMPRODUCT(($A$7:$A$606&lt;&gt;"")*($G$7:$G$606=$G217)*($H$7:$H$606=$H217)*(ROW($A$7:$A$606)&lt;&gt;217)*($L$7:$L$606&lt;=$M217)*($M$7:$M$606&gt;=$L217))&gt;0,"⚠ Çakışma","OK")))</f>
        <v/>
      </c>
      <c r="P217" s="32" t="str">
        <f aca="false">IF($A217="","",IF(OR($K217="",$H217="",$L217=""),"",IF(SUMPRODUCT(($A$7:$A$606&lt;&gt;"")*($K$7:$K$606=$K217)*($H$7:$H$606=$H217)*(ROW($A$7:$A$606)&lt;&gt;217)*($L$7:$L$606&lt;=$M217)*($M$7:$M$606&gt;=$L217))&gt;0,"⚠ Çakışma","OK")))</f>
        <v/>
      </c>
      <c r="Q217" s="32" t="str">
        <f aca="false">IF($A217="","",IF(OR($E217="",$H217="",$L217=""),"",IF(SUMPRODUCT(($A$7:$A$606&lt;&gt;"")*($E$7:$E$606=$E217)*($H$7:$H$606=$H217)*(ROW($A$7:$A$606)&lt;&gt;217)*($L$7:$L$606&lt;=$M217)*($M$7:$M$606&gt;=$L217))&gt;0,"⚠ Çakışma","OK")))</f>
        <v/>
      </c>
      <c r="R217" s="32" t="str">
        <f aca="false">IF($A217="","",IF(OR($N217&lt;&gt;"",$O217="⚠ Çakışma",$P217="⚠ Çakışma",$Q217="⚠ Çakışma"),"⚠ Kontrol Et","✓ Uygun"))</f>
        <v/>
      </c>
    </row>
    <row r="218" customFormat="false" ht="13.5" hidden="false" customHeight="true" outlineLevel="0" collapsed="false">
      <c r="A218" s="32" t="str">
        <f aca="false">IF('2-Gastronomi'!A15="","","Gastronomi ve Mutfak Sanatları")</f>
        <v/>
      </c>
      <c r="B218" s="32" t="str">
        <f aca="false">IF($A218="","",IF('2-Gastronomi'!A15="","",'2-Gastronomi'!A15))</f>
        <v/>
      </c>
      <c r="C218" s="33" t="str">
        <f aca="false">IF($A218="","",IF('2-Gastronomi'!B15="","",'2-Gastronomi'!B15))</f>
        <v/>
      </c>
      <c r="D218" s="32" t="str">
        <f aca="false">IF($A218="","",IF('2-Gastronomi'!C15="","",'2-Gastronomi'!C15))</f>
        <v/>
      </c>
      <c r="E218" s="32" t="str">
        <f aca="false">IF($A218="","",$A218&amp;"-"&amp;$D218)</f>
        <v/>
      </c>
      <c r="F218" s="32" t="str">
        <f aca="false">IF($A218="","",IF('2-Gastronomi'!D15="","",'2-Gastronomi'!D15))</f>
        <v/>
      </c>
      <c r="G218" s="32" t="str">
        <f aca="false">IF($A218="","",IF('2-Gastronomi'!E15="","",'2-Gastronomi'!E15))</f>
        <v/>
      </c>
      <c r="H218" s="32" t="str">
        <f aca="false">IF($A218="","",IF('2-Gastronomi'!F15="","",'2-Gastronomi'!F15))</f>
        <v/>
      </c>
      <c r="I218" s="32" t="str">
        <f aca="false">IF($A218="","",IF('2-Gastronomi'!G15="","",'2-Gastronomi'!G15))</f>
        <v/>
      </c>
      <c r="J218" s="32" t="str">
        <f aca="false">IF($A218="","",IF('2-Gastronomi'!H15="","",'2-Gastronomi'!H15))</f>
        <v/>
      </c>
      <c r="K218" s="32" t="str">
        <f aca="false">IF($A218="","",IF('2-Gastronomi'!I15="","",'2-Gastronomi'!I15))</f>
        <v/>
      </c>
      <c r="L218" s="32" t="str">
        <f aca="false">IF($I218="","",MATCH($I218,{"08.00";"09.00";"10.00";"11.00";"12.00";"13.00";"14.00";"15.00";"16.00";"17.00"},0))</f>
        <v/>
      </c>
      <c r="M218" s="32" t="str">
        <f aca="false">IF(OR($L218="",$J218=""),"",$L218+$J218-1)</f>
        <v/>
      </c>
      <c r="N218" s="32" t="str">
        <f aca="false">IF($A218="","",IF(OR($L218="",$M218=""),"",IF($M218&gt;10,"⚠ Saat Taşıyor","")))</f>
        <v/>
      </c>
      <c r="O218" s="32" t="str">
        <f aca="false">IF($A218="","",IF(OR($G218="",$H218="",$L218=""),"",IF(SUMPRODUCT(($A$7:$A$606&lt;&gt;"")*($G$7:$G$606=$G218)*($H$7:$H$606=$H218)*(ROW($A$7:$A$606)&lt;&gt;218)*($L$7:$L$606&lt;=$M218)*($M$7:$M$606&gt;=$L218))&gt;0,"⚠ Çakışma","OK")))</f>
        <v/>
      </c>
      <c r="P218" s="32" t="str">
        <f aca="false">IF($A218="","",IF(OR($K218="",$H218="",$L218=""),"",IF(SUMPRODUCT(($A$7:$A$606&lt;&gt;"")*($K$7:$K$606=$K218)*($H$7:$H$606=$H218)*(ROW($A$7:$A$606)&lt;&gt;218)*($L$7:$L$606&lt;=$M218)*($M$7:$M$606&gt;=$L218))&gt;0,"⚠ Çakışma","OK")))</f>
        <v/>
      </c>
      <c r="Q218" s="32" t="str">
        <f aca="false">IF($A218="","",IF(OR($E218="",$H218="",$L218=""),"",IF(SUMPRODUCT(($A$7:$A$606&lt;&gt;"")*($E$7:$E$606=$E218)*($H$7:$H$606=$H218)*(ROW($A$7:$A$606)&lt;&gt;218)*($L$7:$L$606&lt;=$M218)*($M$7:$M$606&gt;=$L218))&gt;0,"⚠ Çakışma","OK")))</f>
        <v/>
      </c>
      <c r="R218" s="32" t="str">
        <f aca="false">IF($A218="","",IF(OR($N218&lt;&gt;"",$O218="⚠ Çakışma",$P218="⚠ Çakışma",$Q218="⚠ Çakışma"),"⚠ Kontrol Et","✓ Uygun"))</f>
        <v/>
      </c>
    </row>
    <row r="219" customFormat="false" ht="13.5" hidden="false" customHeight="true" outlineLevel="0" collapsed="false">
      <c r="A219" s="32" t="str">
        <f aca="false">IF('2-Gastronomi'!A16="","","Gastronomi ve Mutfak Sanatları")</f>
        <v/>
      </c>
      <c r="B219" s="32" t="str">
        <f aca="false">IF($A219="","",IF('2-Gastronomi'!A16="","",'2-Gastronomi'!A16))</f>
        <v/>
      </c>
      <c r="C219" s="33" t="str">
        <f aca="false">IF($A219="","",IF('2-Gastronomi'!B16="","",'2-Gastronomi'!B16))</f>
        <v/>
      </c>
      <c r="D219" s="32" t="str">
        <f aca="false">IF($A219="","",IF('2-Gastronomi'!C16="","",'2-Gastronomi'!C16))</f>
        <v/>
      </c>
      <c r="E219" s="32" t="str">
        <f aca="false">IF($A219="","",$A219&amp;"-"&amp;$D219)</f>
        <v/>
      </c>
      <c r="F219" s="32" t="str">
        <f aca="false">IF($A219="","",IF('2-Gastronomi'!D16="","",'2-Gastronomi'!D16))</f>
        <v/>
      </c>
      <c r="G219" s="32" t="str">
        <f aca="false">IF($A219="","",IF('2-Gastronomi'!E16="","",'2-Gastronomi'!E16))</f>
        <v/>
      </c>
      <c r="H219" s="32" t="str">
        <f aca="false">IF($A219="","",IF('2-Gastronomi'!F16="","",'2-Gastronomi'!F16))</f>
        <v/>
      </c>
      <c r="I219" s="32" t="str">
        <f aca="false">IF($A219="","",IF('2-Gastronomi'!G16="","",'2-Gastronomi'!G16))</f>
        <v/>
      </c>
      <c r="J219" s="32" t="str">
        <f aca="false">IF($A219="","",IF('2-Gastronomi'!H16="","",'2-Gastronomi'!H16))</f>
        <v/>
      </c>
      <c r="K219" s="32" t="str">
        <f aca="false">IF($A219="","",IF('2-Gastronomi'!I16="","",'2-Gastronomi'!I16))</f>
        <v/>
      </c>
      <c r="L219" s="32" t="str">
        <f aca="false">IF($I219="","",MATCH($I219,{"08.00";"09.00";"10.00";"11.00";"12.00";"13.00";"14.00";"15.00";"16.00";"17.00"},0))</f>
        <v/>
      </c>
      <c r="M219" s="32" t="str">
        <f aca="false">IF(OR($L219="",$J219=""),"",$L219+$J219-1)</f>
        <v/>
      </c>
      <c r="N219" s="32" t="str">
        <f aca="false">IF($A219="","",IF(OR($L219="",$M219=""),"",IF($M219&gt;10,"⚠ Saat Taşıyor","")))</f>
        <v/>
      </c>
      <c r="O219" s="32" t="str">
        <f aca="false">IF($A219="","",IF(OR($G219="",$H219="",$L219=""),"",IF(SUMPRODUCT(($A$7:$A$606&lt;&gt;"")*($G$7:$G$606=$G219)*($H$7:$H$606=$H219)*(ROW($A$7:$A$606)&lt;&gt;219)*($L$7:$L$606&lt;=$M219)*($M$7:$M$606&gt;=$L219))&gt;0,"⚠ Çakışma","OK")))</f>
        <v/>
      </c>
      <c r="P219" s="32" t="str">
        <f aca="false">IF($A219="","",IF(OR($K219="",$H219="",$L219=""),"",IF(SUMPRODUCT(($A$7:$A$606&lt;&gt;"")*($K$7:$K$606=$K219)*($H$7:$H$606=$H219)*(ROW($A$7:$A$606)&lt;&gt;219)*($L$7:$L$606&lt;=$M219)*($M$7:$M$606&gt;=$L219))&gt;0,"⚠ Çakışma","OK")))</f>
        <v/>
      </c>
      <c r="Q219" s="32" t="str">
        <f aca="false">IF($A219="","",IF(OR($E219="",$H219="",$L219=""),"",IF(SUMPRODUCT(($A$7:$A$606&lt;&gt;"")*($E$7:$E$606=$E219)*($H$7:$H$606=$H219)*(ROW($A$7:$A$606)&lt;&gt;219)*($L$7:$L$606&lt;=$M219)*($M$7:$M$606&gt;=$L219))&gt;0,"⚠ Çakışma","OK")))</f>
        <v/>
      </c>
      <c r="R219" s="32" t="str">
        <f aca="false">IF($A219="","",IF(OR($N219&lt;&gt;"",$O219="⚠ Çakışma",$P219="⚠ Çakışma",$Q219="⚠ Çakışma"),"⚠ Kontrol Et","✓ Uygun"))</f>
        <v/>
      </c>
    </row>
    <row r="220" customFormat="false" ht="13.5" hidden="false" customHeight="true" outlineLevel="0" collapsed="false">
      <c r="A220" s="32" t="str">
        <f aca="false">IF('2-Gastronomi'!A17="","","Gastronomi ve Mutfak Sanatları")</f>
        <v/>
      </c>
      <c r="B220" s="32" t="str">
        <f aca="false">IF($A220="","",IF('2-Gastronomi'!A17="","",'2-Gastronomi'!A17))</f>
        <v/>
      </c>
      <c r="C220" s="33" t="str">
        <f aca="false">IF($A220="","",IF('2-Gastronomi'!B17="","",'2-Gastronomi'!B17))</f>
        <v/>
      </c>
      <c r="D220" s="32" t="str">
        <f aca="false">IF($A220="","",IF('2-Gastronomi'!C17="","",'2-Gastronomi'!C17))</f>
        <v/>
      </c>
      <c r="E220" s="32" t="str">
        <f aca="false">IF($A220="","",$A220&amp;"-"&amp;$D220)</f>
        <v/>
      </c>
      <c r="F220" s="32" t="str">
        <f aca="false">IF($A220="","",IF('2-Gastronomi'!D17="","",'2-Gastronomi'!D17))</f>
        <v/>
      </c>
      <c r="G220" s="32" t="str">
        <f aca="false">IF($A220="","",IF('2-Gastronomi'!E17="","",'2-Gastronomi'!E17))</f>
        <v/>
      </c>
      <c r="H220" s="32" t="str">
        <f aca="false">IF($A220="","",IF('2-Gastronomi'!F17="","",'2-Gastronomi'!F17))</f>
        <v/>
      </c>
      <c r="I220" s="32" t="str">
        <f aca="false">IF($A220="","",IF('2-Gastronomi'!G17="","",'2-Gastronomi'!G17))</f>
        <v/>
      </c>
      <c r="J220" s="32" t="str">
        <f aca="false">IF($A220="","",IF('2-Gastronomi'!H17="","",'2-Gastronomi'!H17))</f>
        <v/>
      </c>
      <c r="K220" s="32" t="str">
        <f aca="false">IF($A220="","",IF('2-Gastronomi'!I17="","",'2-Gastronomi'!I17))</f>
        <v/>
      </c>
      <c r="L220" s="32" t="str">
        <f aca="false">IF($I220="","",MATCH($I220,{"08.00";"09.00";"10.00";"11.00";"12.00";"13.00";"14.00";"15.00";"16.00";"17.00"},0))</f>
        <v/>
      </c>
      <c r="M220" s="32" t="str">
        <f aca="false">IF(OR($L220="",$J220=""),"",$L220+$J220-1)</f>
        <v/>
      </c>
      <c r="N220" s="32" t="str">
        <f aca="false">IF($A220="","",IF(OR($L220="",$M220=""),"",IF($M220&gt;10,"⚠ Saat Taşıyor","")))</f>
        <v/>
      </c>
      <c r="O220" s="32" t="str">
        <f aca="false">IF($A220="","",IF(OR($G220="",$H220="",$L220=""),"",IF(SUMPRODUCT(($A$7:$A$606&lt;&gt;"")*($G$7:$G$606=$G220)*($H$7:$H$606=$H220)*(ROW($A$7:$A$606)&lt;&gt;220)*($L$7:$L$606&lt;=$M220)*($M$7:$M$606&gt;=$L220))&gt;0,"⚠ Çakışma","OK")))</f>
        <v/>
      </c>
      <c r="P220" s="32" t="str">
        <f aca="false">IF($A220="","",IF(OR($K220="",$H220="",$L220=""),"",IF(SUMPRODUCT(($A$7:$A$606&lt;&gt;"")*($K$7:$K$606=$K220)*($H$7:$H$606=$H220)*(ROW($A$7:$A$606)&lt;&gt;220)*($L$7:$L$606&lt;=$M220)*($M$7:$M$606&gt;=$L220))&gt;0,"⚠ Çakışma","OK")))</f>
        <v/>
      </c>
      <c r="Q220" s="32" t="str">
        <f aca="false">IF($A220="","",IF(OR($E220="",$H220="",$L220=""),"",IF(SUMPRODUCT(($A$7:$A$606&lt;&gt;"")*($E$7:$E$606=$E220)*($H$7:$H$606=$H220)*(ROW($A$7:$A$606)&lt;&gt;220)*($L$7:$L$606&lt;=$M220)*($M$7:$M$606&gt;=$L220))&gt;0,"⚠ Çakışma","OK")))</f>
        <v/>
      </c>
      <c r="R220" s="32" t="str">
        <f aca="false">IF($A220="","",IF(OR($N220&lt;&gt;"",$O220="⚠ Çakışma",$P220="⚠ Çakışma",$Q220="⚠ Çakışma"),"⚠ Kontrol Et","✓ Uygun"))</f>
        <v/>
      </c>
    </row>
    <row r="221" customFormat="false" ht="13.5" hidden="false" customHeight="true" outlineLevel="0" collapsed="false">
      <c r="A221" s="32" t="str">
        <f aca="false">IF('2-Gastronomi'!A18="","","Gastronomi ve Mutfak Sanatları")</f>
        <v/>
      </c>
      <c r="B221" s="32" t="str">
        <f aca="false">IF($A221="","",IF('2-Gastronomi'!A18="","",'2-Gastronomi'!A18))</f>
        <v/>
      </c>
      <c r="C221" s="33" t="str">
        <f aca="false">IF($A221="","",IF('2-Gastronomi'!B18="","",'2-Gastronomi'!B18))</f>
        <v/>
      </c>
      <c r="D221" s="32" t="str">
        <f aca="false">IF($A221="","",IF('2-Gastronomi'!C18="","",'2-Gastronomi'!C18))</f>
        <v/>
      </c>
      <c r="E221" s="32" t="str">
        <f aca="false">IF($A221="","",$A221&amp;"-"&amp;$D221)</f>
        <v/>
      </c>
      <c r="F221" s="32" t="str">
        <f aca="false">IF($A221="","",IF('2-Gastronomi'!D18="","",'2-Gastronomi'!D18))</f>
        <v/>
      </c>
      <c r="G221" s="32" t="str">
        <f aca="false">IF($A221="","",IF('2-Gastronomi'!E18="","",'2-Gastronomi'!E18))</f>
        <v/>
      </c>
      <c r="H221" s="32" t="str">
        <f aca="false">IF($A221="","",IF('2-Gastronomi'!F18="","",'2-Gastronomi'!F18))</f>
        <v/>
      </c>
      <c r="I221" s="32" t="str">
        <f aca="false">IF($A221="","",IF('2-Gastronomi'!G18="","",'2-Gastronomi'!G18))</f>
        <v/>
      </c>
      <c r="J221" s="32" t="str">
        <f aca="false">IF($A221="","",IF('2-Gastronomi'!H18="","",'2-Gastronomi'!H18))</f>
        <v/>
      </c>
      <c r="K221" s="32" t="str">
        <f aca="false">IF($A221="","",IF('2-Gastronomi'!I18="","",'2-Gastronomi'!I18))</f>
        <v/>
      </c>
      <c r="L221" s="32" t="str">
        <f aca="false">IF($I221="","",MATCH($I221,{"08.00";"09.00";"10.00";"11.00";"12.00";"13.00";"14.00";"15.00";"16.00";"17.00"},0))</f>
        <v/>
      </c>
      <c r="M221" s="32" t="str">
        <f aca="false">IF(OR($L221="",$J221=""),"",$L221+$J221-1)</f>
        <v/>
      </c>
      <c r="N221" s="32" t="str">
        <f aca="false">IF($A221="","",IF(OR($L221="",$M221=""),"",IF($M221&gt;10,"⚠ Saat Taşıyor","")))</f>
        <v/>
      </c>
      <c r="O221" s="32" t="str">
        <f aca="false">IF($A221="","",IF(OR($G221="",$H221="",$L221=""),"",IF(SUMPRODUCT(($A$7:$A$606&lt;&gt;"")*($G$7:$G$606=$G221)*($H$7:$H$606=$H221)*(ROW($A$7:$A$606)&lt;&gt;221)*($L$7:$L$606&lt;=$M221)*($M$7:$M$606&gt;=$L221))&gt;0,"⚠ Çakışma","OK")))</f>
        <v/>
      </c>
      <c r="P221" s="32" t="str">
        <f aca="false">IF($A221="","",IF(OR($K221="",$H221="",$L221=""),"",IF(SUMPRODUCT(($A$7:$A$606&lt;&gt;"")*($K$7:$K$606=$K221)*($H$7:$H$606=$H221)*(ROW($A$7:$A$606)&lt;&gt;221)*($L$7:$L$606&lt;=$M221)*($M$7:$M$606&gt;=$L221))&gt;0,"⚠ Çakışma","OK")))</f>
        <v/>
      </c>
      <c r="Q221" s="32" t="str">
        <f aca="false">IF($A221="","",IF(OR($E221="",$H221="",$L221=""),"",IF(SUMPRODUCT(($A$7:$A$606&lt;&gt;"")*($E$7:$E$606=$E221)*($H$7:$H$606=$H221)*(ROW($A$7:$A$606)&lt;&gt;221)*($L$7:$L$606&lt;=$M221)*($M$7:$M$606&gt;=$L221))&gt;0,"⚠ Çakışma","OK")))</f>
        <v/>
      </c>
      <c r="R221" s="32" t="str">
        <f aca="false">IF($A221="","",IF(OR($N221&lt;&gt;"",$O221="⚠ Çakışma",$P221="⚠ Çakışma",$Q221="⚠ Çakışma"),"⚠ Kontrol Et","✓ Uygun"))</f>
        <v/>
      </c>
    </row>
    <row r="222" customFormat="false" ht="13.5" hidden="false" customHeight="true" outlineLevel="0" collapsed="false">
      <c r="A222" s="32" t="str">
        <f aca="false">IF('2-Gastronomi'!A19="","","Gastronomi ve Mutfak Sanatları")</f>
        <v/>
      </c>
      <c r="B222" s="32" t="str">
        <f aca="false">IF($A222="","",IF('2-Gastronomi'!A19="","",'2-Gastronomi'!A19))</f>
        <v/>
      </c>
      <c r="C222" s="33" t="str">
        <f aca="false">IF($A222="","",IF('2-Gastronomi'!B19="","",'2-Gastronomi'!B19))</f>
        <v/>
      </c>
      <c r="D222" s="32" t="str">
        <f aca="false">IF($A222="","",IF('2-Gastronomi'!C19="","",'2-Gastronomi'!C19))</f>
        <v/>
      </c>
      <c r="E222" s="32" t="str">
        <f aca="false">IF($A222="","",$A222&amp;"-"&amp;$D222)</f>
        <v/>
      </c>
      <c r="F222" s="32" t="str">
        <f aca="false">IF($A222="","",IF('2-Gastronomi'!D19="","",'2-Gastronomi'!D19))</f>
        <v/>
      </c>
      <c r="G222" s="32" t="str">
        <f aca="false">IF($A222="","",IF('2-Gastronomi'!E19="","",'2-Gastronomi'!E19))</f>
        <v/>
      </c>
      <c r="H222" s="32" t="str">
        <f aca="false">IF($A222="","",IF('2-Gastronomi'!F19="","",'2-Gastronomi'!F19))</f>
        <v/>
      </c>
      <c r="I222" s="32" t="str">
        <f aca="false">IF($A222="","",IF('2-Gastronomi'!G19="","",'2-Gastronomi'!G19))</f>
        <v/>
      </c>
      <c r="J222" s="32" t="str">
        <f aca="false">IF($A222="","",IF('2-Gastronomi'!H19="","",'2-Gastronomi'!H19))</f>
        <v/>
      </c>
      <c r="K222" s="32" t="str">
        <f aca="false">IF($A222="","",IF('2-Gastronomi'!I19="","",'2-Gastronomi'!I19))</f>
        <v/>
      </c>
      <c r="L222" s="32" t="str">
        <f aca="false">IF($I222="","",MATCH($I222,{"08.00";"09.00";"10.00";"11.00";"12.00";"13.00";"14.00";"15.00";"16.00";"17.00"},0))</f>
        <v/>
      </c>
      <c r="M222" s="32" t="str">
        <f aca="false">IF(OR($L222="",$J222=""),"",$L222+$J222-1)</f>
        <v/>
      </c>
      <c r="N222" s="32" t="str">
        <f aca="false">IF($A222="","",IF(OR($L222="",$M222=""),"",IF($M222&gt;10,"⚠ Saat Taşıyor","")))</f>
        <v/>
      </c>
      <c r="O222" s="32" t="str">
        <f aca="false">IF($A222="","",IF(OR($G222="",$H222="",$L222=""),"",IF(SUMPRODUCT(($A$7:$A$606&lt;&gt;"")*($G$7:$G$606=$G222)*($H$7:$H$606=$H222)*(ROW($A$7:$A$606)&lt;&gt;222)*($L$7:$L$606&lt;=$M222)*($M$7:$M$606&gt;=$L222))&gt;0,"⚠ Çakışma","OK")))</f>
        <v/>
      </c>
      <c r="P222" s="32" t="str">
        <f aca="false">IF($A222="","",IF(OR($K222="",$H222="",$L222=""),"",IF(SUMPRODUCT(($A$7:$A$606&lt;&gt;"")*($K$7:$K$606=$K222)*($H$7:$H$606=$H222)*(ROW($A$7:$A$606)&lt;&gt;222)*($L$7:$L$606&lt;=$M222)*($M$7:$M$606&gt;=$L222))&gt;0,"⚠ Çakışma","OK")))</f>
        <v/>
      </c>
      <c r="Q222" s="32" t="str">
        <f aca="false">IF($A222="","",IF(OR($E222="",$H222="",$L222=""),"",IF(SUMPRODUCT(($A$7:$A$606&lt;&gt;"")*($E$7:$E$606=$E222)*($H$7:$H$606=$H222)*(ROW($A$7:$A$606)&lt;&gt;222)*($L$7:$L$606&lt;=$M222)*($M$7:$M$606&gt;=$L222))&gt;0,"⚠ Çakışma","OK")))</f>
        <v/>
      </c>
      <c r="R222" s="32" t="str">
        <f aca="false">IF($A222="","",IF(OR($N222&lt;&gt;"",$O222="⚠ Çakışma",$P222="⚠ Çakışma",$Q222="⚠ Çakışma"),"⚠ Kontrol Et","✓ Uygun"))</f>
        <v/>
      </c>
    </row>
    <row r="223" customFormat="false" ht="13.5" hidden="false" customHeight="true" outlineLevel="0" collapsed="false">
      <c r="A223" s="32" t="str">
        <f aca="false">IF('2-Gastronomi'!A20="","","Gastronomi ve Mutfak Sanatları")</f>
        <v/>
      </c>
      <c r="B223" s="32" t="str">
        <f aca="false">IF($A223="","",IF('2-Gastronomi'!A20="","",'2-Gastronomi'!A20))</f>
        <v/>
      </c>
      <c r="C223" s="33" t="str">
        <f aca="false">IF($A223="","",IF('2-Gastronomi'!B20="","",'2-Gastronomi'!B20))</f>
        <v/>
      </c>
      <c r="D223" s="32" t="str">
        <f aca="false">IF($A223="","",IF('2-Gastronomi'!C20="","",'2-Gastronomi'!C20))</f>
        <v/>
      </c>
      <c r="E223" s="32" t="str">
        <f aca="false">IF($A223="","",$A223&amp;"-"&amp;$D223)</f>
        <v/>
      </c>
      <c r="F223" s="32" t="str">
        <f aca="false">IF($A223="","",IF('2-Gastronomi'!D20="","",'2-Gastronomi'!D20))</f>
        <v/>
      </c>
      <c r="G223" s="32" t="str">
        <f aca="false">IF($A223="","",IF('2-Gastronomi'!E20="","",'2-Gastronomi'!E20))</f>
        <v/>
      </c>
      <c r="H223" s="32" t="str">
        <f aca="false">IF($A223="","",IF('2-Gastronomi'!F20="","",'2-Gastronomi'!F20))</f>
        <v/>
      </c>
      <c r="I223" s="32" t="str">
        <f aca="false">IF($A223="","",IF('2-Gastronomi'!G20="","",'2-Gastronomi'!G20))</f>
        <v/>
      </c>
      <c r="J223" s="32" t="str">
        <f aca="false">IF($A223="","",IF('2-Gastronomi'!H20="","",'2-Gastronomi'!H20))</f>
        <v/>
      </c>
      <c r="K223" s="32" t="str">
        <f aca="false">IF($A223="","",IF('2-Gastronomi'!I20="","",'2-Gastronomi'!I20))</f>
        <v/>
      </c>
      <c r="L223" s="32" t="str">
        <f aca="false">IF($I223="","",MATCH($I223,{"08.00";"09.00";"10.00";"11.00";"12.00";"13.00";"14.00";"15.00";"16.00";"17.00"},0))</f>
        <v/>
      </c>
      <c r="M223" s="32" t="str">
        <f aca="false">IF(OR($L223="",$J223=""),"",$L223+$J223-1)</f>
        <v/>
      </c>
      <c r="N223" s="32" t="str">
        <f aca="false">IF($A223="","",IF(OR($L223="",$M223=""),"",IF($M223&gt;10,"⚠ Saat Taşıyor","")))</f>
        <v/>
      </c>
      <c r="O223" s="32" t="str">
        <f aca="false">IF($A223="","",IF(OR($G223="",$H223="",$L223=""),"",IF(SUMPRODUCT(($A$7:$A$606&lt;&gt;"")*($G$7:$G$606=$G223)*($H$7:$H$606=$H223)*(ROW($A$7:$A$606)&lt;&gt;223)*($L$7:$L$606&lt;=$M223)*($M$7:$M$606&gt;=$L223))&gt;0,"⚠ Çakışma","OK")))</f>
        <v/>
      </c>
      <c r="P223" s="32" t="str">
        <f aca="false">IF($A223="","",IF(OR($K223="",$H223="",$L223=""),"",IF(SUMPRODUCT(($A$7:$A$606&lt;&gt;"")*($K$7:$K$606=$K223)*($H$7:$H$606=$H223)*(ROW($A$7:$A$606)&lt;&gt;223)*($L$7:$L$606&lt;=$M223)*($M$7:$M$606&gt;=$L223))&gt;0,"⚠ Çakışma","OK")))</f>
        <v/>
      </c>
      <c r="Q223" s="32" t="str">
        <f aca="false">IF($A223="","",IF(OR($E223="",$H223="",$L223=""),"",IF(SUMPRODUCT(($A$7:$A$606&lt;&gt;"")*($E$7:$E$606=$E223)*($H$7:$H$606=$H223)*(ROW($A$7:$A$606)&lt;&gt;223)*($L$7:$L$606&lt;=$M223)*($M$7:$M$606&gt;=$L223))&gt;0,"⚠ Çakışma","OK")))</f>
        <v/>
      </c>
      <c r="R223" s="32" t="str">
        <f aca="false">IF($A223="","",IF(OR($N223&lt;&gt;"",$O223="⚠ Çakışma",$P223="⚠ Çakışma",$Q223="⚠ Çakışma"),"⚠ Kontrol Et","✓ Uygun"))</f>
        <v/>
      </c>
    </row>
    <row r="224" customFormat="false" ht="13.5" hidden="false" customHeight="true" outlineLevel="0" collapsed="false">
      <c r="A224" s="32" t="str">
        <f aca="false">IF('2-Gastronomi'!A21="","","Gastronomi ve Mutfak Sanatları")</f>
        <v/>
      </c>
      <c r="B224" s="32" t="str">
        <f aca="false">IF($A224="","",IF('2-Gastronomi'!A21="","",'2-Gastronomi'!A21))</f>
        <v/>
      </c>
      <c r="C224" s="33" t="str">
        <f aca="false">IF($A224="","",IF('2-Gastronomi'!B21="","",'2-Gastronomi'!B21))</f>
        <v/>
      </c>
      <c r="D224" s="32" t="str">
        <f aca="false">IF($A224="","",IF('2-Gastronomi'!C21="","",'2-Gastronomi'!C21))</f>
        <v/>
      </c>
      <c r="E224" s="32" t="str">
        <f aca="false">IF($A224="","",$A224&amp;"-"&amp;$D224)</f>
        <v/>
      </c>
      <c r="F224" s="32" t="str">
        <f aca="false">IF($A224="","",IF('2-Gastronomi'!D21="","",'2-Gastronomi'!D21))</f>
        <v/>
      </c>
      <c r="G224" s="32" t="str">
        <f aca="false">IF($A224="","",IF('2-Gastronomi'!E21="","",'2-Gastronomi'!E21))</f>
        <v/>
      </c>
      <c r="H224" s="32" t="str">
        <f aca="false">IF($A224="","",IF('2-Gastronomi'!F21="","",'2-Gastronomi'!F21))</f>
        <v/>
      </c>
      <c r="I224" s="32" t="str">
        <f aca="false">IF($A224="","",IF('2-Gastronomi'!G21="","",'2-Gastronomi'!G21))</f>
        <v/>
      </c>
      <c r="J224" s="32" t="str">
        <f aca="false">IF($A224="","",IF('2-Gastronomi'!H21="","",'2-Gastronomi'!H21))</f>
        <v/>
      </c>
      <c r="K224" s="32" t="str">
        <f aca="false">IF($A224="","",IF('2-Gastronomi'!I21="","",'2-Gastronomi'!I21))</f>
        <v/>
      </c>
      <c r="L224" s="32" t="str">
        <f aca="false">IF($I224="","",MATCH($I224,{"08.00";"09.00";"10.00";"11.00";"12.00";"13.00";"14.00";"15.00";"16.00";"17.00"},0))</f>
        <v/>
      </c>
      <c r="M224" s="32" t="str">
        <f aca="false">IF(OR($L224="",$J224=""),"",$L224+$J224-1)</f>
        <v/>
      </c>
      <c r="N224" s="32" t="str">
        <f aca="false">IF($A224="","",IF(OR($L224="",$M224=""),"",IF($M224&gt;10,"⚠ Saat Taşıyor","")))</f>
        <v/>
      </c>
      <c r="O224" s="32" t="str">
        <f aca="false">IF($A224="","",IF(OR($G224="",$H224="",$L224=""),"",IF(SUMPRODUCT(($A$7:$A$606&lt;&gt;"")*($G$7:$G$606=$G224)*($H$7:$H$606=$H224)*(ROW($A$7:$A$606)&lt;&gt;224)*($L$7:$L$606&lt;=$M224)*($M$7:$M$606&gt;=$L224))&gt;0,"⚠ Çakışma","OK")))</f>
        <v/>
      </c>
      <c r="P224" s="32" t="str">
        <f aca="false">IF($A224="","",IF(OR($K224="",$H224="",$L224=""),"",IF(SUMPRODUCT(($A$7:$A$606&lt;&gt;"")*($K$7:$K$606=$K224)*($H$7:$H$606=$H224)*(ROW($A$7:$A$606)&lt;&gt;224)*($L$7:$L$606&lt;=$M224)*($M$7:$M$606&gt;=$L224))&gt;0,"⚠ Çakışma","OK")))</f>
        <v/>
      </c>
      <c r="Q224" s="32" t="str">
        <f aca="false">IF($A224="","",IF(OR($E224="",$H224="",$L224=""),"",IF(SUMPRODUCT(($A$7:$A$606&lt;&gt;"")*($E$7:$E$606=$E224)*($H$7:$H$606=$H224)*(ROW($A$7:$A$606)&lt;&gt;224)*($L$7:$L$606&lt;=$M224)*($M$7:$M$606&gt;=$L224))&gt;0,"⚠ Çakışma","OK")))</f>
        <v/>
      </c>
      <c r="R224" s="32" t="str">
        <f aca="false">IF($A224="","",IF(OR($N224&lt;&gt;"",$O224="⚠ Çakışma",$P224="⚠ Çakışma",$Q224="⚠ Çakışma"),"⚠ Kontrol Et","✓ Uygun"))</f>
        <v/>
      </c>
    </row>
    <row r="225" customFormat="false" ht="13.5" hidden="false" customHeight="true" outlineLevel="0" collapsed="false">
      <c r="A225" s="32" t="str">
        <f aca="false">IF('2-Gastronomi'!A22="","","Gastronomi ve Mutfak Sanatları")</f>
        <v/>
      </c>
      <c r="B225" s="32" t="str">
        <f aca="false">IF($A225="","",IF('2-Gastronomi'!A22="","",'2-Gastronomi'!A22))</f>
        <v/>
      </c>
      <c r="C225" s="33" t="str">
        <f aca="false">IF($A225="","",IF('2-Gastronomi'!B22="","",'2-Gastronomi'!B22))</f>
        <v/>
      </c>
      <c r="D225" s="32" t="str">
        <f aca="false">IF($A225="","",IF('2-Gastronomi'!C22="","",'2-Gastronomi'!C22))</f>
        <v/>
      </c>
      <c r="E225" s="32" t="str">
        <f aca="false">IF($A225="","",$A225&amp;"-"&amp;$D225)</f>
        <v/>
      </c>
      <c r="F225" s="32" t="str">
        <f aca="false">IF($A225="","",IF('2-Gastronomi'!D22="","",'2-Gastronomi'!D22))</f>
        <v/>
      </c>
      <c r="G225" s="32" t="str">
        <f aca="false">IF($A225="","",IF('2-Gastronomi'!E22="","",'2-Gastronomi'!E22))</f>
        <v/>
      </c>
      <c r="H225" s="32" t="str">
        <f aca="false">IF($A225="","",IF('2-Gastronomi'!F22="","",'2-Gastronomi'!F22))</f>
        <v/>
      </c>
      <c r="I225" s="32" t="str">
        <f aca="false">IF($A225="","",IF('2-Gastronomi'!G22="","",'2-Gastronomi'!G22))</f>
        <v/>
      </c>
      <c r="J225" s="32" t="str">
        <f aca="false">IF($A225="","",IF('2-Gastronomi'!H22="","",'2-Gastronomi'!H22))</f>
        <v/>
      </c>
      <c r="K225" s="32" t="str">
        <f aca="false">IF($A225="","",IF('2-Gastronomi'!I22="","",'2-Gastronomi'!I22))</f>
        <v/>
      </c>
      <c r="L225" s="32" t="str">
        <f aca="false">IF($I225="","",MATCH($I225,{"08.00";"09.00";"10.00";"11.00";"12.00";"13.00";"14.00";"15.00";"16.00";"17.00"},0))</f>
        <v/>
      </c>
      <c r="M225" s="32" t="str">
        <f aca="false">IF(OR($L225="",$J225=""),"",$L225+$J225-1)</f>
        <v/>
      </c>
      <c r="N225" s="32" t="str">
        <f aca="false">IF($A225="","",IF(OR($L225="",$M225=""),"",IF($M225&gt;10,"⚠ Saat Taşıyor","")))</f>
        <v/>
      </c>
      <c r="O225" s="32" t="str">
        <f aca="false">IF($A225="","",IF(OR($G225="",$H225="",$L225=""),"",IF(SUMPRODUCT(($A$7:$A$606&lt;&gt;"")*($G$7:$G$606=$G225)*($H$7:$H$606=$H225)*(ROW($A$7:$A$606)&lt;&gt;225)*($L$7:$L$606&lt;=$M225)*($M$7:$M$606&gt;=$L225))&gt;0,"⚠ Çakışma","OK")))</f>
        <v/>
      </c>
      <c r="P225" s="32" t="str">
        <f aca="false">IF($A225="","",IF(OR($K225="",$H225="",$L225=""),"",IF(SUMPRODUCT(($A$7:$A$606&lt;&gt;"")*($K$7:$K$606=$K225)*($H$7:$H$606=$H225)*(ROW($A$7:$A$606)&lt;&gt;225)*($L$7:$L$606&lt;=$M225)*($M$7:$M$606&gt;=$L225))&gt;0,"⚠ Çakışma","OK")))</f>
        <v/>
      </c>
      <c r="Q225" s="32" t="str">
        <f aca="false">IF($A225="","",IF(OR($E225="",$H225="",$L225=""),"",IF(SUMPRODUCT(($A$7:$A$606&lt;&gt;"")*($E$7:$E$606=$E225)*($H$7:$H$606=$H225)*(ROW($A$7:$A$606)&lt;&gt;225)*($L$7:$L$606&lt;=$M225)*($M$7:$M$606&gt;=$L225))&gt;0,"⚠ Çakışma","OK")))</f>
        <v/>
      </c>
      <c r="R225" s="32" t="str">
        <f aca="false">IF($A225="","",IF(OR($N225&lt;&gt;"",$O225="⚠ Çakışma",$P225="⚠ Çakışma",$Q225="⚠ Çakışma"),"⚠ Kontrol Et","✓ Uygun"))</f>
        <v/>
      </c>
    </row>
    <row r="226" customFormat="false" ht="13.5" hidden="false" customHeight="true" outlineLevel="0" collapsed="false">
      <c r="A226" s="32" t="str">
        <f aca="false">IF('2-Gastronomi'!A23="","","Gastronomi ve Mutfak Sanatları")</f>
        <v/>
      </c>
      <c r="B226" s="32" t="str">
        <f aca="false">IF($A226="","",IF('2-Gastronomi'!A23="","",'2-Gastronomi'!A23))</f>
        <v/>
      </c>
      <c r="C226" s="33" t="str">
        <f aca="false">IF($A226="","",IF('2-Gastronomi'!B23="","",'2-Gastronomi'!B23))</f>
        <v/>
      </c>
      <c r="D226" s="32" t="str">
        <f aca="false">IF($A226="","",IF('2-Gastronomi'!C23="","",'2-Gastronomi'!C23))</f>
        <v/>
      </c>
      <c r="E226" s="32" t="str">
        <f aca="false">IF($A226="","",$A226&amp;"-"&amp;$D226)</f>
        <v/>
      </c>
      <c r="F226" s="32" t="str">
        <f aca="false">IF($A226="","",IF('2-Gastronomi'!D23="","",'2-Gastronomi'!D23))</f>
        <v/>
      </c>
      <c r="G226" s="32" t="str">
        <f aca="false">IF($A226="","",IF('2-Gastronomi'!E23="","",'2-Gastronomi'!E23))</f>
        <v/>
      </c>
      <c r="H226" s="32" t="str">
        <f aca="false">IF($A226="","",IF('2-Gastronomi'!F23="","",'2-Gastronomi'!F23))</f>
        <v/>
      </c>
      <c r="I226" s="32" t="str">
        <f aca="false">IF($A226="","",IF('2-Gastronomi'!G23="","",'2-Gastronomi'!G23))</f>
        <v/>
      </c>
      <c r="J226" s="32" t="str">
        <f aca="false">IF($A226="","",IF('2-Gastronomi'!H23="","",'2-Gastronomi'!H23))</f>
        <v/>
      </c>
      <c r="K226" s="32" t="str">
        <f aca="false">IF($A226="","",IF('2-Gastronomi'!I23="","",'2-Gastronomi'!I23))</f>
        <v/>
      </c>
      <c r="L226" s="32" t="str">
        <f aca="false">IF($I226="","",MATCH($I226,{"08.00";"09.00";"10.00";"11.00";"12.00";"13.00";"14.00";"15.00";"16.00";"17.00"},0))</f>
        <v/>
      </c>
      <c r="M226" s="32" t="str">
        <f aca="false">IF(OR($L226="",$J226=""),"",$L226+$J226-1)</f>
        <v/>
      </c>
      <c r="N226" s="32" t="str">
        <f aca="false">IF($A226="","",IF(OR($L226="",$M226=""),"",IF($M226&gt;10,"⚠ Saat Taşıyor","")))</f>
        <v/>
      </c>
      <c r="O226" s="32" t="str">
        <f aca="false">IF($A226="","",IF(OR($G226="",$H226="",$L226=""),"",IF(SUMPRODUCT(($A$7:$A$606&lt;&gt;"")*($G$7:$G$606=$G226)*($H$7:$H$606=$H226)*(ROW($A$7:$A$606)&lt;&gt;226)*($L$7:$L$606&lt;=$M226)*($M$7:$M$606&gt;=$L226))&gt;0,"⚠ Çakışma","OK")))</f>
        <v/>
      </c>
      <c r="P226" s="32" t="str">
        <f aca="false">IF($A226="","",IF(OR($K226="",$H226="",$L226=""),"",IF(SUMPRODUCT(($A$7:$A$606&lt;&gt;"")*($K$7:$K$606=$K226)*($H$7:$H$606=$H226)*(ROW($A$7:$A$606)&lt;&gt;226)*($L$7:$L$606&lt;=$M226)*($M$7:$M$606&gt;=$L226))&gt;0,"⚠ Çakışma","OK")))</f>
        <v/>
      </c>
      <c r="Q226" s="32" t="str">
        <f aca="false">IF($A226="","",IF(OR($E226="",$H226="",$L226=""),"",IF(SUMPRODUCT(($A$7:$A$606&lt;&gt;"")*($E$7:$E$606=$E226)*($H$7:$H$606=$H226)*(ROW($A$7:$A$606)&lt;&gt;226)*($L$7:$L$606&lt;=$M226)*($M$7:$M$606&gt;=$L226))&gt;0,"⚠ Çakışma","OK")))</f>
        <v/>
      </c>
      <c r="R226" s="32" t="str">
        <f aca="false">IF($A226="","",IF(OR($N226&lt;&gt;"",$O226="⚠ Çakışma",$P226="⚠ Çakışma",$Q226="⚠ Çakışma"),"⚠ Kontrol Et","✓ Uygun"))</f>
        <v/>
      </c>
    </row>
    <row r="227" customFormat="false" ht="13.5" hidden="false" customHeight="true" outlineLevel="0" collapsed="false">
      <c r="A227" s="32" t="str">
        <f aca="false">IF('2-Gastronomi'!A24="","","Gastronomi ve Mutfak Sanatları")</f>
        <v/>
      </c>
      <c r="B227" s="32" t="str">
        <f aca="false">IF($A227="","",IF('2-Gastronomi'!A24="","",'2-Gastronomi'!A24))</f>
        <v/>
      </c>
      <c r="C227" s="33" t="str">
        <f aca="false">IF($A227="","",IF('2-Gastronomi'!B24="","",'2-Gastronomi'!B24))</f>
        <v/>
      </c>
      <c r="D227" s="32" t="str">
        <f aca="false">IF($A227="","",IF('2-Gastronomi'!C24="","",'2-Gastronomi'!C24))</f>
        <v/>
      </c>
      <c r="E227" s="32" t="str">
        <f aca="false">IF($A227="","",$A227&amp;"-"&amp;$D227)</f>
        <v/>
      </c>
      <c r="F227" s="32" t="str">
        <f aca="false">IF($A227="","",IF('2-Gastronomi'!D24="","",'2-Gastronomi'!D24))</f>
        <v/>
      </c>
      <c r="G227" s="32" t="str">
        <f aca="false">IF($A227="","",IF('2-Gastronomi'!E24="","",'2-Gastronomi'!E24))</f>
        <v/>
      </c>
      <c r="H227" s="32" t="str">
        <f aca="false">IF($A227="","",IF('2-Gastronomi'!F24="","",'2-Gastronomi'!F24))</f>
        <v/>
      </c>
      <c r="I227" s="32" t="str">
        <f aca="false">IF($A227="","",IF('2-Gastronomi'!G24="","",'2-Gastronomi'!G24))</f>
        <v/>
      </c>
      <c r="J227" s="32" t="str">
        <f aca="false">IF($A227="","",IF('2-Gastronomi'!H24="","",'2-Gastronomi'!H24))</f>
        <v/>
      </c>
      <c r="K227" s="32" t="str">
        <f aca="false">IF($A227="","",IF('2-Gastronomi'!I24="","",'2-Gastronomi'!I24))</f>
        <v/>
      </c>
      <c r="L227" s="32" t="str">
        <f aca="false">IF($I227="","",MATCH($I227,{"08.00";"09.00";"10.00";"11.00";"12.00";"13.00";"14.00";"15.00";"16.00";"17.00"},0))</f>
        <v/>
      </c>
      <c r="M227" s="32" t="str">
        <f aca="false">IF(OR($L227="",$J227=""),"",$L227+$J227-1)</f>
        <v/>
      </c>
      <c r="N227" s="32" t="str">
        <f aca="false">IF($A227="","",IF(OR($L227="",$M227=""),"",IF($M227&gt;10,"⚠ Saat Taşıyor","")))</f>
        <v/>
      </c>
      <c r="O227" s="32" t="str">
        <f aca="false">IF($A227="","",IF(OR($G227="",$H227="",$L227=""),"",IF(SUMPRODUCT(($A$7:$A$606&lt;&gt;"")*($G$7:$G$606=$G227)*($H$7:$H$606=$H227)*(ROW($A$7:$A$606)&lt;&gt;227)*($L$7:$L$606&lt;=$M227)*($M$7:$M$606&gt;=$L227))&gt;0,"⚠ Çakışma","OK")))</f>
        <v/>
      </c>
      <c r="P227" s="32" t="str">
        <f aca="false">IF($A227="","",IF(OR($K227="",$H227="",$L227=""),"",IF(SUMPRODUCT(($A$7:$A$606&lt;&gt;"")*($K$7:$K$606=$K227)*($H$7:$H$606=$H227)*(ROW($A$7:$A$606)&lt;&gt;227)*($L$7:$L$606&lt;=$M227)*($M$7:$M$606&gt;=$L227))&gt;0,"⚠ Çakışma","OK")))</f>
        <v/>
      </c>
      <c r="Q227" s="32" t="str">
        <f aca="false">IF($A227="","",IF(OR($E227="",$H227="",$L227=""),"",IF(SUMPRODUCT(($A$7:$A$606&lt;&gt;"")*($E$7:$E$606=$E227)*($H$7:$H$606=$H227)*(ROW($A$7:$A$606)&lt;&gt;227)*($L$7:$L$606&lt;=$M227)*($M$7:$M$606&gt;=$L227))&gt;0,"⚠ Çakışma","OK")))</f>
        <v/>
      </c>
      <c r="R227" s="32" t="str">
        <f aca="false">IF($A227="","",IF(OR($N227&lt;&gt;"",$O227="⚠ Çakışma",$P227="⚠ Çakışma",$Q227="⚠ Çakışma"),"⚠ Kontrol Et","✓ Uygun"))</f>
        <v/>
      </c>
    </row>
    <row r="228" customFormat="false" ht="13.5" hidden="false" customHeight="true" outlineLevel="0" collapsed="false">
      <c r="A228" s="32" t="str">
        <f aca="false">IF('2-Gastronomi'!A25="","","Gastronomi ve Mutfak Sanatları")</f>
        <v/>
      </c>
      <c r="B228" s="32" t="str">
        <f aca="false">IF($A228="","",IF('2-Gastronomi'!A25="","",'2-Gastronomi'!A25))</f>
        <v/>
      </c>
      <c r="C228" s="33" t="str">
        <f aca="false">IF($A228="","",IF('2-Gastronomi'!B25="","",'2-Gastronomi'!B25))</f>
        <v/>
      </c>
      <c r="D228" s="32" t="str">
        <f aca="false">IF($A228="","",IF('2-Gastronomi'!C25="","",'2-Gastronomi'!C25))</f>
        <v/>
      </c>
      <c r="E228" s="32" t="str">
        <f aca="false">IF($A228="","",$A228&amp;"-"&amp;$D228)</f>
        <v/>
      </c>
      <c r="F228" s="32" t="str">
        <f aca="false">IF($A228="","",IF('2-Gastronomi'!D25="","",'2-Gastronomi'!D25))</f>
        <v/>
      </c>
      <c r="G228" s="32" t="str">
        <f aca="false">IF($A228="","",IF('2-Gastronomi'!E25="","",'2-Gastronomi'!E25))</f>
        <v/>
      </c>
      <c r="H228" s="32" t="str">
        <f aca="false">IF($A228="","",IF('2-Gastronomi'!F25="","",'2-Gastronomi'!F25))</f>
        <v/>
      </c>
      <c r="I228" s="32" t="str">
        <f aca="false">IF($A228="","",IF('2-Gastronomi'!G25="","",'2-Gastronomi'!G25))</f>
        <v/>
      </c>
      <c r="J228" s="32" t="str">
        <f aca="false">IF($A228="","",IF('2-Gastronomi'!H25="","",'2-Gastronomi'!H25))</f>
        <v/>
      </c>
      <c r="K228" s="32" t="str">
        <f aca="false">IF($A228="","",IF('2-Gastronomi'!I25="","",'2-Gastronomi'!I25))</f>
        <v/>
      </c>
      <c r="L228" s="32" t="str">
        <f aca="false">IF($I228="","",MATCH($I228,{"08.00";"09.00";"10.00";"11.00";"12.00";"13.00";"14.00";"15.00";"16.00";"17.00"},0))</f>
        <v/>
      </c>
      <c r="M228" s="32" t="str">
        <f aca="false">IF(OR($L228="",$J228=""),"",$L228+$J228-1)</f>
        <v/>
      </c>
      <c r="N228" s="32" t="str">
        <f aca="false">IF($A228="","",IF(OR($L228="",$M228=""),"",IF($M228&gt;10,"⚠ Saat Taşıyor","")))</f>
        <v/>
      </c>
      <c r="O228" s="32" t="str">
        <f aca="false">IF($A228="","",IF(OR($G228="",$H228="",$L228=""),"",IF(SUMPRODUCT(($A$7:$A$606&lt;&gt;"")*($G$7:$G$606=$G228)*($H$7:$H$606=$H228)*(ROW($A$7:$A$606)&lt;&gt;228)*($L$7:$L$606&lt;=$M228)*($M$7:$M$606&gt;=$L228))&gt;0,"⚠ Çakışma","OK")))</f>
        <v/>
      </c>
      <c r="P228" s="32" t="str">
        <f aca="false">IF($A228="","",IF(OR($K228="",$H228="",$L228=""),"",IF(SUMPRODUCT(($A$7:$A$606&lt;&gt;"")*($K$7:$K$606=$K228)*($H$7:$H$606=$H228)*(ROW($A$7:$A$606)&lt;&gt;228)*($L$7:$L$606&lt;=$M228)*($M$7:$M$606&gt;=$L228))&gt;0,"⚠ Çakışma","OK")))</f>
        <v/>
      </c>
      <c r="Q228" s="32" t="str">
        <f aca="false">IF($A228="","",IF(OR($E228="",$H228="",$L228=""),"",IF(SUMPRODUCT(($A$7:$A$606&lt;&gt;"")*($E$7:$E$606=$E228)*($H$7:$H$606=$H228)*(ROW($A$7:$A$606)&lt;&gt;228)*($L$7:$L$606&lt;=$M228)*($M$7:$M$606&gt;=$L228))&gt;0,"⚠ Çakışma","OK")))</f>
        <v/>
      </c>
      <c r="R228" s="32" t="str">
        <f aca="false">IF($A228="","",IF(OR($N228&lt;&gt;"",$O228="⚠ Çakışma",$P228="⚠ Çakışma",$Q228="⚠ Çakışma"),"⚠ Kontrol Et","✓ Uygun"))</f>
        <v/>
      </c>
    </row>
    <row r="229" customFormat="false" ht="13.5" hidden="false" customHeight="true" outlineLevel="0" collapsed="false">
      <c r="A229" s="32" t="str">
        <f aca="false">IF('2-Gastronomi'!A26="","","Gastronomi ve Mutfak Sanatları")</f>
        <v/>
      </c>
      <c r="B229" s="32" t="str">
        <f aca="false">IF($A229="","",IF('2-Gastronomi'!A26="","",'2-Gastronomi'!A26))</f>
        <v/>
      </c>
      <c r="C229" s="33" t="str">
        <f aca="false">IF($A229="","",IF('2-Gastronomi'!B26="","",'2-Gastronomi'!B26))</f>
        <v/>
      </c>
      <c r="D229" s="32" t="str">
        <f aca="false">IF($A229="","",IF('2-Gastronomi'!C26="","",'2-Gastronomi'!C26))</f>
        <v/>
      </c>
      <c r="E229" s="32" t="str">
        <f aca="false">IF($A229="","",$A229&amp;"-"&amp;$D229)</f>
        <v/>
      </c>
      <c r="F229" s="32" t="str">
        <f aca="false">IF($A229="","",IF('2-Gastronomi'!D26="","",'2-Gastronomi'!D26))</f>
        <v/>
      </c>
      <c r="G229" s="32" t="str">
        <f aca="false">IF($A229="","",IF('2-Gastronomi'!E26="","",'2-Gastronomi'!E26))</f>
        <v/>
      </c>
      <c r="H229" s="32" t="str">
        <f aca="false">IF($A229="","",IF('2-Gastronomi'!F26="","",'2-Gastronomi'!F26))</f>
        <v/>
      </c>
      <c r="I229" s="32" t="str">
        <f aca="false">IF($A229="","",IF('2-Gastronomi'!G26="","",'2-Gastronomi'!G26))</f>
        <v/>
      </c>
      <c r="J229" s="32" t="str">
        <f aca="false">IF($A229="","",IF('2-Gastronomi'!H26="","",'2-Gastronomi'!H26))</f>
        <v/>
      </c>
      <c r="K229" s="32" t="str">
        <f aca="false">IF($A229="","",IF('2-Gastronomi'!I26="","",'2-Gastronomi'!I26))</f>
        <v/>
      </c>
      <c r="L229" s="32" t="str">
        <f aca="false">IF($I229="","",MATCH($I229,{"08.00";"09.00";"10.00";"11.00";"12.00";"13.00";"14.00";"15.00";"16.00";"17.00"},0))</f>
        <v/>
      </c>
      <c r="M229" s="32" t="str">
        <f aca="false">IF(OR($L229="",$J229=""),"",$L229+$J229-1)</f>
        <v/>
      </c>
      <c r="N229" s="32" t="str">
        <f aca="false">IF($A229="","",IF(OR($L229="",$M229=""),"",IF($M229&gt;10,"⚠ Saat Taşıyor","")))</f>
        <v/>
      </c>
      <c r="O229" s="32" t="str">
        <f aca="false">IF($A229="","",IF(OR($G229="",$H229="",$L229=""),"",IF(SUMPRODUCT(($A$7:$A$606&lt;&gt;"")*($G$7:$G$606=$G229)*($H$7:$H$606=$H229)*(ROW($A$7:$A$606)&lt;&gt;229)*($L$7:$L$606&lt;=$M229)*($M$7:$M$606&gt;=$L229))&gt;0,"⚠ Çakışma","OK")))</f>
        <v/>
      </c>
      <c r="P229" s="32" t="str">
        <f aca="false">IF($A229="","",IF(OR($K229="",$H229="",$L229=""),"",IF(SUMPRODUCT(($A$7:$A$606&lt;&gt;"")*($K$7:$K$606=$K229)*($H$7:$H$606=$H229)*(ROW($A$7:$A$606)&lt;&gt;229)*($L$7:$L$606&lt;=$M229)*($M$7:$M$606&gt;=$L229))&gt;0,"⚠ Çakışma","OK")))</f>
        <v/>
      </c>
      <c r="Q229" s="32" t="str">
        <f aca="false">IF($A229="","",IF(OR($E229="",$H229="",$L229=""),"",IF(SUMPRODUCT(($A$7:$A$606&lt;&gt;"")*($E$7:$E$606=$E229)*($H$7:$H$606=$H229)*(ROW($A$7:$A$606)&lt;&gt;229)*($L$7:$L$606&lt;=$M229)*($M$7:$M$606&gt;=$L229))&gt;0,"⚠ Çakışma","OK")))</f>
        <v/>
      </c>
      <c r="R229" s="32" t="str">
        <f aca="false">IF($A229="","",IF(OR($N229&lt;&gt;"",$O229="⚠ Çakışma",$P229="⚠ Çakışma",$Q229="⚠ Çakışma"),"⚠ Kontrol Et","✓ Uygun"))</f>
        <v/>
      </c>
    </row>
    <row r="230" customFormat="false" ht="13.5" hidden="false" customHeight="true" outlineLevel="0" collapsed="false">
      <c r="A230" s="32" t="str">
        <f aca="false">IF('2-Gastronomi'!A27="","","Gastronomi ve Mutfak Sanatları")</f>
        <v/>
      </c>
      <c r="B230" s="32" t="str">
        <f aca="false">IF($A230="","",IF('2-Gastronomi'!A27="","",'2-Gastronomi'!A27))</f>
        <v/>
      </c>
      <c r="C230" s="33" t="str">
        <f aca="false">IF($A230="","",IF('2-Gastronomi'!B27="","",'2-Gastronomi'!B27))</f>
        <v/>
      </c>
      <c r="D230" s="32" t="str">
        <f aca="false">IF($A230="","",IF('2-Gastronomi'!C27="","",'2-Gastronomi'!C27))</f>
        <v/>
      </c>
      <c r="E230" s="32" t="str">
        <f aca="false">IF($A230="","",$A230&amp;"-"&amp;$D230)</f>
        <v/>
      </c>
      <c r="F230" s="32" t="str">
        <f aca="false">IF($A230="","",IF('2-Gastronomi'!D27="","",'2-Gastronomi'!D27))</f>
        <v/>
      </c>
      <c r="G230" s="32" t="str">
        <f aca="false">IF($A230="","",IF('2-Gastronomi'!E27="","",'2-Gastronomi'!E27))</f>
        <v/>
      </c>
      <c r="H230" s="32" t="str">
        <f aca="false">IF($A230="","",IF('2-Gastronomi'!F27="","",'2-Gastronomi'!F27))</f>
        <v/>
      </c>
      <c r="I230" s="32" t="str">
        <f aca="false">IF($A230="","",IF('2-Gastronomi'!G27="","",'2-Gastronomi'!G27))</f>
        <v/>
      </c>
      <c r="J230" s="32" t="str">
        <f aca="false">IF($A230="","",IF('2-Gastronomi'!H27="","",'2-Gastronomi'!H27))</f>
        <v/>
      </c>
      <c r="K230" s="32" t="str">
        <f aca="false">IF($A230="","",IF('2-Gastronomi'!I27="","",'2-Gastronomi'!I27))</f>
        <v/>
      </c>
      <c r="L230" s="32" t="str">
        <f aca="false">IF($I230="","",MATCH($I230,{"08.00";"09.00";"10.00";"11.00";"12.00";"13.00";"14.00";"15.00";"16.00";"17.00"},0))</f>
        <v/>
      </c>
      <c r="M230" s="32" t="str">
        <f aca="false">IF(OR($L230="",$J230=""),"",$L230+$J230-1)</f>
        <v/>
      </c>
      <c r="N230" s="32" t="str">
        <f aca="false">IF($A230="","",IF(OR($L230="",$M230=""),"",IF($M230&gt;10,"⚠ Saat Taşıyor","")))</f>
        <v/>
      </c>
      <c r="O230" s="32" t="str">
        <f aca="false">IF($A230="","",IF(OR($G230="",$H230="",$L230=""),"",IF(SUMPRODUCT(($A$7:$A$606&lt;&gt;"")*($G$7:$G$606=$G230)*($H$7:$H$606=$H230)*(ROW($A$7:$A$606)&lt;&gt;230)*($L$7:$L$606&lt;=$M230)*($M$7:$M$606&gt;=$L230))&gt;0,"⚠ Çakışma","OK")))</f>
        <v/>
      </c>
      <c r="P230" s="32" t="str">
        <f aca="false">IF($A230="","",IF(OR($K230="",$H230="",$L230=""),"",IF(SUMPRODUCT(($A$7:$A$606&lt;&gt;"")*($K$7:$K$606=$K230)*($H$7:$H$606=$H230)*(ROW($A$7:$A$606)&lt;&gt;230)*($L$7:$L$606&lt;=$M230)*($M$7:$M$606&gt;=$L230))&gt;0,"⚠ Çakışma","OK")))</f>
        <v/>
      </c>
      <c r="Q230" s="32" t="str">
        <f aca="false">IF($A230="","",IF(OR($E230="",$H230="",$L230=""),"",IF(SUMPRODUCT(($A$7:$A$606&lt;&gt;"")*($E$7:$E$606=$E230)*($H$7:$H$606=$H230)*(ROW($A$7:$A$606)&lt;&gt;230)*($L$7:$L$606&lt;=$M230)*($M$7:$M$606&gt;=$L230))&gt;0,"⚠ Çakışma","OK")))</f>
        <v/>
      </c>
      <c r="R230" s="32" t="str">
        <f aca="false">IF($A230="","",IF(OR($N230&lt;&gt;"",$O230="⚠ Çakışma",$P230="⚠ Çakışma",$Q230="⚠ Çakışma"),"⚠ Kontrol Et","✓ Uygun"))</f>
        <v/>
      </c>
    </row>
    <row r="231" customFormat="false" ht="13.5" hidden="false" customHeight="true" outlineLevel="0" collapsed="false">
      <c r="A231" s="32" t="str">
        <f aca="false">IF('2-Gastronomi'!A28="","","Gastronomi ve Mutfak Sanatları")</f>
        <v/>
      </c>
      <c r="B231" s="32" t="str">
        <f aca="false">IF($A231="","",IF('2-Gastronomi'!A28="","",'2-Gastronomi'!A28))</f>
        <v/>
      </c>
      <c r="C231" s="33" t="str">
        <f aca="false">IF($A231="","",IF('2-Gastronomi'!B28="","",'2-Gastronomi'!B28))</f>
        <v/>
      </c>
      <c r="D231" s="32" t="str">
        <f aca="false">IF($A231="","",IF('2-Gastronomi'!C28="","",'2-Gastronomi'!C28))</f>
        <v/>
      </c>
      <c r="E231" s="32" t="str">
        <f aca="false">IF($A231="","",$A231&amp;"-"&amp;$D231)</f>
        <v/>
      </c>
      <c r="F231" s="32" t="str">
        <f aca="false">IF($A231="","",IF('2-Gastronomi'!D28="","",'2-Gastronomi'!D28))</f>
        <v/>
      </c>
      <c r="G231" s="32" t="str">
        <f aca="false">IF($A231="","",IF('2-Gastronomi'!E28="","",'2-Gastronomi'!E28))</f>
        <v/>
      </c>
      <c r="H231" s="32" t="str">
        <f aca="false">IF($A231="","",IF('2-Gastronomi'!F28="","",'2-Gastronomi'!F28))</f>
        <v/>
      </c>
      <c r="I231" s="32" t="str">
        <f aca="false">IF($A231="","",IF('2-Gastronomi'!G28="","",'2-Gastronomi'!G28))</f>
        <v/>
      </c>
      <c r="J231" s="32" t="str">
        <f aca="false">IF($A231="","",IF('2-Gastronomi'!H28="","",'2-Gastronomi'!H28))</f>
        <v/>
      </c>
      <c r="K231" s="32" t="str">
        <f aca="false">IF($A231="","",IF('2-Gastronomi'!I28="","",'2-Gastronomi'!I28))</f>
        <v/>
      </c>
      <c r="L231" s="32" t="str">
        <f aca="false">IF($I231="","",MATCH($I231,{"08.00";"09.00";"10.00";"11.00";"12.00";"13.00";"14.00";"15.00";"16.00";"17.00"},0))</f>
        <v/>
      </c>
      <c r="M231" s="32" t="str">
        <f aca="false">IF(OR($L231="",$J231=""),"",$L231+$J231-1)</f>
        <v/>
      </c>
      <c r="N231" s="32" t="str">
        <f aca="false">IF($A231="","",IF(OR($L231="",$M231=""),"",IF($M231&gt;10,"⚠ Saat Taşıyor","")))</f>
        <v/>
      </c>
      <c r="O231" s="32" t="str">
        <f aca="false">IF($A231="","",IF(OR($G231="",$H231="",$L231=""),"",IF(SUMPRODUCT(($A$7:$A$606&lt;&gt;"")*($G$7:$G$606=$G231)*($H$7:$H$606=$H231)*(ROW($A$7:$A$606)&lt;&gt;231)*($L$7:$L$606&lt;=$M231)*($M$7:$M$606&gt;=$L231))&gt;0,"⚠ Çakışma","OK")))</f>
        <v/>
      </c>
      <c r="P231" s="32" t="str">
        <f aca="false">IF($A231="","",IF(OR($K231="",$H231="",$L231=""),"",IF(SUMPRODUCT(($A$7:$A$606&lt;&gt;"")*($K$7:$K$606=$K231)*($H$7:$H$606=$H231)*(ROW($A$7:$A$606)&lt;&gt;231)*($L$7:$L$606&lt;=$M231)*($M$7:$M$606&gt;=$L231))&gt;0,"⚠ Çakışma","OK")))</f>
        <v/>
      </c>
      <c r="Q231" s="32" t="str">
        <f aca="false">IF($A231="","",IF(OR($E231="",$H231="",$L231=""),"",IF(SUMPRODUCT(($A$7:$A$606&lt;&gt;"")*($E$7:$E$606=$E231)*($H$7:$H$606=$H231)*(ROW($A$7:$A$606)&lt;&gt;231)*($L$7:$L$606&lt;=$M231)*($M$7:$M$606&gt;=$L231))&gt;0,"⚠ Çakışma","OK")))</f>
        <v/>
      </c>
      <c r="R231" s="32" t="str">
        <f aca="false">IF($A231="","",IF(OR($N231&lt;&gt;"",$O231="⚠ Çakışma",$P231="⚠ Çakışma",$Q231="⚠ Çakışma"),"⚠ Kontrol Et","✓ Uygun"))</f>
        <v/>
      </c>
    </row>
    <row r="232" customFormat="false" ht="13.5" hidden="false" customHeight="true" outlineLevel="0" collapsed="false">
      <c r="A232" s="32" t="str">
        <f aca="false">IF('2-Gastronomi'!A29="","","Gastronomi ve Mutfak Sanatları")</f>
        <v/>
      </c>
      <c r="B232" s="32" t="str">
        <f aca="false">IF($A232="","",IF('2-Gastronomi'!A29="","",'2-Gastronomi'!A29))</f>
        <v/>
      </c>
      <c r="C232" s="33" t="str">
        <f aca="false">IF($A232="","",IF('2-Gastronomi'!B29="","",'2-Gastronomi'!B29))</f>
        <v/>
      </c>
      <c r="D232" s="32" t="str">
        <f aca="false">IF($A232="","",IF('2-Gastronomi'!C29="","",'2-Gastronomi'!C29))</f>
        <v/>
      </c>
      <c r="E232" s="32" t="str">
        <f aca="false">IF($A232="","",$A232&amp;"-"&amp;$D232)</f>
        <v/>
      </c>
      <c r="F232" s="32" t="str">
        <f aca="false">IF($A232="","",IF('2-Gastronomi'!D29="","",'2-Gastronomi'!D29))</f>
        <v/>
      </c>
      <c r="G232" s="32" t="str">
        <f aca="false">IF($A232="","",IF('2-Gastronomi'!E29="","",'2-Gastronomi'!E29))</f>
        <v/>
      </c>
      <c r="H232" s="32" t="str">
        <f aca="false">IF($A232="","",IF('2-Gastronomi'!F29="","",'2-Gastronomi'!F29))</f>
        <v/>
      </c>
      <c r="I232" s="32" t="str">
        <f aca="false">IF($A232="","",IF('2-Gastronomi'!G29="","",'2-Gastronomi'!G29))</f>
        <v/>
      </c>
      <c r="J232" s="32" t="str">
        <f aca="false">IF($A232="","",IF('2-Gastronomi'!H29="","",'2-Gastronomi'!H29))</f>
        <v/>
      </c>
      <c r="K232" s="32" t="str">
        <f aca="false">IF($A232="","",IF('2-Gastronomi'!I29="","",'2-Gastronomi'!I29))</f>
        <v/>
      </c>
      <c r="L232" s="32" t="str">
        <f aca="false">IF($I232="","",MATCH($I232,{"08.00";"09.00";"10.00";"11.00";"12.00";"13.00";"14.00";"15.00";"16.00";"17.00"},0))</f>
        <v/>
      </c>
      <c r="M232" s="32" t="str">
        <f aca="false">IF(OR($L232="",$J232=""),"",$L232+$J232-1)</f>
        <v/>
      </c>
      <c r="N232" s="32" t="str">
        <f aca="false">IF($A232="","",IF(OR($L232="",$M232=""),"",IF($M232&gt;10,"⚠ Saat Taşıyor","")))</f>
        <v/>
      </c>
      <c r="O232" s="32" t="str">
        <f aca="false">IF($A232="","",IF(OR($G232="",$H232="",$L232=""),"",IF(SUMPRODUCT(($A$7:$A$606&lt;&gt;"")*($G$7:$G$606=$G232)*($H$7:$H$606=$H232)*(ROW($A$7:$A$606)&lt;&gt;232)*($L$7:$L$606&lt;=$M232)*($M$7:$M$606&gt;=$L232))&gt;0,"⚠ Çakışma","OK")))</f>
        <v/>
      </c>
      <c r="P232" s="32" t="str">
        <f aca="false">IF($A232="","",IF(OR($K232="",$H232="",$L232=""),"",IF(SUMPRODUCT(($A$7:$A$606&lt;&gt;"")*($K$7:$K$606=$K232)*($H$7:$H$606=$H232)*(ROW($A$7:$A$606)&lt;&gt;232)*($L$7:$L$606&lt;=$M232)*($M$7:$M$606&gt;=$L232))&gt;0,"⚠ Çakışma","OK")))</f>
        <v/>
      </c>
      <c r="Q232" s="32" t="str">
        <f aca="false">IF($A232="","",IF(OR($E232="",$H232="",$L232=""),"",IF(SUMPRODUCT(($A$7:$A$606&lt;&gt;"")*($E$7:$E$606=$E232)*($H$7:$H$606=$H232)*(ROW($A$7:$A$606)&lt;&gt;232)*($L$7:$L$606&lt;=$M232)*($M$7:$M$606&gt;=$L232))&gt;0,"⚠ Çakışma","OK")))</f>
        <v/>
      </c>
      <c r="R232" s="32" t="str">
        <f aca="false">IF($A232="","",IF(OR($N232&lt;&gt;"",$O232="⚠ Çakışma",$P232="⚠ Çakışma",$Q232="⚠ Çakışma"),"⚠ Kontrol Et","✓ Uygun"))</f>
        <v/>
      </c>
    </row>
    <row r="233" customFormat="false" ht="13.5" hidden="false" customHeight="true" outlineLevel="0" collapsed="false">
      <c r="A233" s="32" t="str">
        <f aca="false">IF('2-Gastronomi'!A30="","","Gastronomi ve Mutfak Sanatları")</f>
        <v/>
      </c>
      <c r="B233" s="32" t="str">
        <f aca="false">IF($A233="","",IF('2-Gastronomi'!A30="","",'2-Gastronomi'!A30))</f>
        <v/>
      </c>
      <c r="C233" s="33" t="str">
        <f aca="false">IF($A233="","",IF('2-Gastronomi'!B30="","",'2-Gastronomi'!B30))</f>
        <v/>
      </c>
      <c r="D233" s="32" t="str">
        <f aca="false">IF($A233="","",IF('2-Gastronomi'!C30="","",'2-Gastronomi'!C30))</f>
        <v/>
      </c>
      <c r="E233" s="32" t="str">
        <f aca="false">IF($A233="","",$A233&amp;"-"&amp;$D233)</f>
        <v/>
      </c>
      <c r="F233" s="32" t="str">
        <f aca="false">IF($A233="","",IF('2-Gastronomi'!D30="","",'2-Gastronomi'!D30))</f>
        <v/>
      </c>
      <c r="G233" s="32" t="str">
        <f aca="false">IF($A233="","",IF('2-Gastronomi'!E30="","",'2-Gastronomi'!E30))</f>
        <v/>
      </c>
      <c r="H233" s="32" t="str">
        <f aca="false">IF($A233="","",IF('2-Gastronomi'!F30="","",'2-Gastronomi'!F30))</f>
        <v/>
      </c>
      <c r="I233" s="32" t="str">
        <f aca="false">IF($A233="","",IF('2-Gastronomi'!G30="","",'2-Gastronomi'!G30))</f>
        <v/>
      </c>
      <c r="J233" s="32" t="str">
        <f aca="false">IF($A233="","",IF('2-Gastronomi'!H30="","",'2-Gastronomi'!H30))</f>
        <v/>
      </c>
      <c r="K233" s="32" t="str">
        <f aca="false">IF($A233="","",IF('2-Gastronomi'!I30="","",'2-Gastronomi'!I30))</f>
        <v/>
      </c>
      <c r="L233" s="32" t="str">
        <f aca="false">IF($I233="","",MATCH($I233,{"08.00";"09.00";"10.00";"11.00";"12.00";"13.00";"14.00";"15.00";"16.00";"17.00"},0))</f>
        <v/>
      </c>
      <c r="M233" s="32" t="str">
        <f aca="false">IF(OR($L233="",$J233=""),"",$L233+$J233-1)</f>
        <v/>
      </c>
      <c r="N233" s="32" t="str">
        <f aca="false">IF($A233="","",IF(OR($L233="",$M233=""),"",IF($M233&gt;10,"⚠ Saat Taşıyor","")))</f>
        <v/>
      </c>
      <c r="O233" s="32" t="str">
        <f aca="false">IF($A233="","",IF(OR($G233="",$H233="",$L233=""),"",IF(SUMPRODUCT(($A$7:$A$606&lt;&gt;"")*($G$7:$G$606=$G233)*($H$7:$H$606=$H233)*(ROW($A$7:$A$606)&lt;&gt;233)*($L$7:$L$606&lt;=$M233)*($M$7:$M$606&gt;=$L233))&gt;0,"⚠ Çakışma","OK")))</f>
        <v/>
      </c>
      <c r="P233" s="32" t="str">
        <f aca="false">IF($A233="","",IF(OR($K233="",$H233="",$L233=""),"",IF(SUMPRODUCT(($A$7:$A$606&lt;&gt;"")*($K$7:$K$606=$K233)*($H$7:$H$606=$H233)*(ROW($A$7:$A$606)&lt;&gt;233)*($L$7:$L$606&lt;=$M233)*($M$7:$M$606&gt;=$L233))&gt;0,"⚠ Çakışma","OK")))</f>
        <v/>
      </c>
      <c r="Q233" s="32" t="str">
        <f aca="false">IF($A233="","",IF(OR($E233="",$H233="",$L233=""),"",IF(SUMPRODUCT(($A$7:$A$606&lt;&gt;"")*($E$7:$E$606=$E233)*($H$7:$H$606=$H233)*(ROW($A$7:$A$606)&lt;&gt;233)*($L$7:$L$606&lt;=$M233)*($M$7:$M$606&gt;=$L233))&gt;0,"⚠ Çakışma","OK")))</f>
        <v/>
      </c>
      <c r="R233" s="32" t="str">
        <f aca="false">IF($A233="","",IF(OR($N233&lt;&gt;"",$O233="⚠ Çakışma",$P233="⚠ Çakışma",$Q233="⚠ Çakışma"),"⚠ Kontrol Et","✓ Uygun"))</f>
        <v/>
      </c>
    </row>
    <row r="234" customFormat="false" ht="13.5" hidden="false" customHeight="true" outlineLevel="0" collapsed="false">
      <c r="A234" s="32" t="str">
        <f aca="false">IF('2-Gastronomi'!A31="","","Gastronomi ve Mutfak Sanatları")</f>
        <v/>
      </c>
      <c r="B234" s="32" t="str">
        <f aca="false">IF($A234="","",IF('2-Gastronomi'!A31="","",'2-Gastronomi'!A31))</f>
        <v/>
      </c>
      <c r="C234" s="33" t="str">
        <f aca="false">IF($A234="","",IF('2-Gastronomi'!B31="","",'2-Gastronomi'!B31))</f>
        <v/>
      </c>
      <c r="D234" s="32" t="str">
        <f aca="false">IF($A234="","",IF('2-Gastronomi'!C31="","",'2-Gastronomi'!C31))</f>
        <v/>
      </c>
      <c r="E234" s="32" t="str">
        <f aca="false">IF($A234="","",$A234&amp;"-"&amp;$D234)</f>
        <v/>
      </c>
      <c r="F234" s="32" t="str">
        <f aca="false">IF($A234="","",IF('2-Gastronomi'!D31="","",'2-Gastronomi'!D31))</f>
        <v/>
      </c>
      <c r="G234" s="32" t="str">
        <f aca="false">IF($A234="","",IF('2-Gastronomi'!E31="","",'2-Gastronomi'!E31))</f>
        <v/>
      </c>
      <c r="H234" s="32" t="str">
        <f aca="false">IF($A234="","",IF('2-Gastronomi'!F31="","",'2-Gastronomi'!F31))</f>
        <v/>
      </c>
      <c r="I234" s="32" t="str">
        <f aca="false">IF($A234="","",IF('2-Gastronomi'!G31="","",'2-Gastronomi'!G31))</f>
        <v/>
      </c>
      <c r="J234" s="32" t="str">
        <f aca="false">IF($A234="","",IF('2-Gastronomi'!H31="","",'2-Gastronomi'!H31))</f>
        <v/>
      </c>
      <c r="K234" s="32" t="str">
        <f aca="false">IF($A234="","",IF('2-Gastronomi'!I31="","",'2-Gastronomi'!I31))</f>
        <v/>
      </c>
      <c r="L234" s="32" t="str">
        <f aca="false">IF($I234="","",MATCH($I234,{"08.00";"09.00";"10.00";"11.00";"12.00";"13.00";"14.00";"15.00";"16.00";"17.00"},0))</f>
        <v/>
      </c>
      <c r="M234" s="32" t="str">
        <f aca="false">IF(OR($L234="",$J234=""),"",$L234+$J234-1)</f>
        <v/>
      </c>
      <c r="N234" s="32" t="str">
        <f aca="false">IF($A234="","",IF(OR($L234="",$M234=""),"",IF($M234&gt;10,"⚠ Saat Taşıyor","")))</f>
        <v/>
      </c>
      <c r="O234" s="32" t="str">
        <f aca="false">IF($A234="","",IF(OR($G234="",$H234="",$L234=""),"",IF(SUMPRODUCT(($A$7:$A$606&lt;&gt;"")*($G$7:$G$606=$G234)*($H$7:$H$606=$H234)*(ROW($A$7:$A$606)&lt;&gt;234)*($L$7:$L$606&lt;=$M234)*($M$7:$M$606&gt;=$L234))&gt;0,"⚠ Çakışma","OK")))</f>
        <v/>
      </c>
      <c r="P234" s="32" t="str">
        <f aca="false">IF($A234="","",IF(OR($K234="",$H234="",$L234=""),"",IF(SUMPRODUCT(($A$7:$A$606&lt;&gt;"")*($K$7:$K$606=$K234)*($H$7:$H$606=$H234)*(ROW($A$7:$A$606)&lt;&gt;234)*($L$7:$L$606&lt;=$M234)*($M$7:$M$606&gt;=$L234))&gt;0,"⚠ Çakışma","OK")))</f>
        <v/>
      </c>
      <c r="Q234" s="32" t="str">
        <f aca="false">IF($A234="","",IF(OR($E234="",$H234="",$L234=""),"",IF(SUMPRODUCT(($A$7:$A$606&lt;&gt;"")*($E$7:$E$606=$E234)*($H$7:$H$606=$H234)*(ROW($A$7:$A$606)&lt;&gt;234)*($L$7:$L$606&lt;=$M234)*($M$7:$M$606&gt;=$L234))&gt;0,"⚠ Çakışma","OK")))</f>
        <v/>
      </c>
      <c r="R234" s="32" t="str">
        <f aca="false">IF($A234="","",IF(OR($N234&lt;&gt;"",$O234="⚠ Çakışma",$P234="⚠ Çakışma",$Q234="⚠ Çakışma"),"⚠ Kontrol Et","✓ Uygun"))</f>
        <v/>
      </c>
    </row>
    <row r="235" customFormat="false" ht="13.5" hidden="false" customHeight="true" outlineLevel="0" collapsed="false">
      <c r="A235" s="32" t="str">
        <f aca="false">IF('2-Gastronomi'!A32="","","Gastronomi ve Mutfak Sanatları")</f>
        <v/>
      </c>
      <c r="B235" s="32" t="str">
        <f aca="false">IF($A235="","",IF('2-Gastronomi'!A32="","",'2-Gastronomi'!A32))</f>
        <v/>
      </c>
      <c r="C235" s="33" t="str">
        <f aca="false">IF($A235="","",IF('2-Gastronomi'!B32="","",'2-Gastronomi'!B32))</f>
        <v/>
      </c>
      <c r="D235" s="32" t="str">
        <f aca="false">IF($A235="","",IF('2-Gastronomi'!C32="","",'2-Gastronomi'!C32))</f>
        <v/>
      </c>
      <c r="E235" s="32" t="str">
        <f aca="false">IF($A235="","",$A235&amp;"-"&amp;$D235)</f>
        <v/>
      </c>
      <c r="F235" s="32" t="str">
        <f aca="false">IF($A235="","",IF('2-Gastronomi'!D32="","",'2-Gastronomi'!D32))</f>
        <v/>
      </c>
      <c r="G235" s="32" t="str">
        <f aca="false">IF($A235="","",IF('2-Gastronomi'!E32="","",'2-Gastronomi'!E32))</f>
        <v/>
      </c>
      <c r="H235" s="32" t="str">
        <f aca="false">IF($A235="","",IF('2-Gastronomi'!F32="","",'2-Gastronomi'!F32))</f>
        <v/>
      </c>
      <c r="I235" s="32" t="str">
        <f aca="false">IF($A235="","",IF('2-Gastronomi'!G32="","",'2-Gastronomi'!G32))</f>
        <v/>
      </c>
      <c r="J235" s="32" t="str">
        <f aca="false">IF($A235="","",IF('2-Gastronomi'!H32="","",'2-Gastronomi'!H32))</f>
        <v/>
      </c>
      <c r="K235" s="32" t="str">
        <f aca="false">IF($A235="","",IF('2-Gastronomi'!I32="","",'2-Gastronomi'!I32))</f>
        <v/>
      </c>
      <c r="L235" s="32" t="str">
        <f aca="false">IF($I235="","",MATCH($I235,{"08.00";"09.00";"10.00";"11.00";"12.00";"13.00";"14.00";"15.00";"16.00";"17.00"},0))</f>
        <v/>
      </c>
      <c r="M235" s="32" t="str">
        <f aca="false">IF(OR($L235="",$J235=""),"",$L235+$J235-1)</f>
        <v/>
      </c>
      <c r="N235" s="32" t="str">
        <f aca="false">IF($A235="","",IF(OR($L235="",$M235=""),"",IF($M235&gt;10,"⚠ Saat Taşıyor","")))</f>
        <v/>
      </c>
      <c r="O235" s="32" t="str">
        <f aca="false">IF($A235="","",IF(OR($G235="",$H235="",$L235=""),"",IF(SUMPRODUCT(($A$7:$A$606&lt;&gt;"")*($G$7:$G$606=$G235)*($H$7:$H$606=$H235)*(ROW($A$7:$A$606)&lt;&gt;235)*($L$7:$L$606&lt;=$M235)*($M$7:$M$606&gt;=$L235))&gt;0,"⚠ Çakışma","OK")))</f>
        <v/>
      </c>
      <c r="P235" s="32" t="str">
        <f aca="false">IF($A235="","",IF(OR($K235="",$H235="",$L235=""),"",IF(SUMPRODUCT(($A$7:$A$606&lt;&gt;"")*($K$7:$K$606=$K235)*($H$7:$H$606=$H235)*(ROW($A$7:$A$606)&lt;&gt;235)*($L$7:$L$606&lt;=$M235)*($M$7:$M$606&gt;=$L235))&gt;0,"⚠ Çakışma","OK")))</f>
        <v/>
      </c>
      <c r="Q235" s="32" t="str">
        <f aca="false">IF($A235="","",IF(OR($E235="",$H235="",$L235=""),"",IF(SUMPRODUCT(($A$7:$A$606&lt;&gt;"")*($E$7:$E$606=$E235)*($H$7:$H$606=$H235)*(ROW($A$7:$A$606)&lt;&gt;235)*($L$7:$L$606&lt;=$M235)*($M$7:$M$606&gt;=$L235))&gt;0,"⚠ Çakışma","OK")))</f>
        <v/>
      </c>
      <c r="R235" s="32" t="str">
        <f aca="false">IF($A235="","",IF(OR($N235&lt;&gt;"",$O235="⚠ Çakışma",$P235="⚠ Çakışma",$Q235="⚠ Çakışma"),"⚠ Kontrol Et","✓ Uygun"))</f>
        <v/>
      </c>
    </row>
    <row r="236" customFormat="false" ht="13.5" hidden="false" customHeight="true" outlineLevel="0" collapsed="false">
      <c r="A236" s="32" t="str">
        <f aca="false">IF('2-Gastronomi'!A33="","","Gastronomi ve Mutfak Sanatları")</f>
        <v/>
      </c>
      <c r="B236" s="32" t="str">
        <f aca="false">IF($A236="","",IF('2-Gastronomi'!A33="","",'2-Gastronomi'!A33))</f>
        <v/>
      </c>
      <c r="C236" s="33" t="str">
        <f aca="false">IF($A236="","",IF('2-Gastronomi'!B33="","",'2-Gastronomi'!B33))</f>
        <v/>
      </c>
      <c r="D236" s="32" t="str">
        <f aca="false">IF($A236="","",IF('2-Gastronomi'!C33="","",'2-Gastronomi'!C33))</f>
        <v/>
      </c>
      <c r="E236" s="32" t="str">
        <f aca="false">IF($A236="","",$A236&amp;"-"&amp;$D236)</f>
        <v/>
      </c>
      <c r="F236" s="32" t="str">
        <f aca="false">IF($A236="","",IF('2-Gastronomi'!D33="","",'2-Gastronomi'!D33))</f>
        <v/>
      </c>
      <c r="G236" s="32" t="str">
        <f aca="false">IF($A236="","",IF('2-Gastronomi'!E33="","",'2-Gastronomi'!E33))</f>
        <v/>
      </c>
      <c r="H236" s="32" t="str">
        <f aca="false">IF($A236="","",IF('2-Gastronomi'!F33="","",'2-Gastronomi'!F33))</f>
        <v/>
      </c>
      <c r="I236" s="32" t="str">
        <f aca="false">IF($A236="","",IF('2-Gastronomi'!G33="","",'2-Gastronomi'!G33))</f>
        <v/>
      </c>
      <c r="J236" s="32" t="str">
        <f aca="false">IF($A236="","",IF('2-Gastronomi'!H33="","",'2-Gastronomi'!H33))</f>
        <v/>
      </c>
      <c r="K236" s="32" t="str">
        <f aca="false">IF($A236="","",IF('2-Gastronomi'!I33="","",'2-Gastronomi'!I33))</f>
        <v/>
      </c>
      <c r="L236" s="32" t="str">
        <f aca="false">IF($I236="","",MATCH($I236,{"08.00";"09.00";"10.00";"11.00";"12.00";"13.00";"14.00";"15.00";"16.00";"17.00"},0))</f>
        <v/>
      </c>
      <c r="M236" s="32" t="str">
        <f aca="false">IF(OR($L236="",$J236=""),"",$L236+$J236-1)</f>
        <v/>
      </c>
      <c r="N236" s="32" t="str">
        <f aca="false">IF($A236="","",IF(OR($L236="",$M236=""),"",IF($M236&gt;10,"⚠ Saat Taşıyor","")))</f>
        <v/>
      </c>
      <c r="O236" s="32" t="str">
        <f aca="false">IF($A236="","",IF(OR($G236="",$H236="",$L236=""),"",IF(SUMPRODUCT(($A$7:$A$606&lt;&gt;"")*($G$7:$G$606=$G236)*($H$7:$H$606=$H236)*(ROW($A$7:$A$606)&lt;&gt;236)*($L$7:$L$606&lt;=$M236)*($M$7:$M$606&gt;=$L236))&gt;0,"⚠ Çakışma","OK")))</f>
        <v/>
      </c>
      <c r="P236" s="32" t="str">
        <f aca="false">IF($A236="","",IF(OR($K236="",$H236="",$L236=""),"",IF(SUMPRODUCT(($A$7:$A$606&lt;&gt;"")*($K$7:$K$606=$K236)*($H$7:$H$606=$H236)*(ROW($A$7:$A$606)&lt;&gt;236)*($L$7:$L$606&lt;=$M236)*($M$7:$M$606&gt;=$L236))&gt;0,"⚠ Çakışma","OK")))</f>
        <v/>
      </c>
      <c r="Q236" s="32" t="str">
        <f aca="false">IF($A236="","",IF(OR($E236="",$H236="",$L236=""),"",IF(SUMPRODUCT(($A$7:$A$606&lt;&gt;"")*($E$7:$E$606=$E236)*($H$7:$H$606=$H236)*(ROW($A$7:$A$606)&lt;&gt;236)*($L$7:$L$606&lt;=$M236)*($M$7:$M$606&gt;=$L236))&gt;0,"⚠ Çakışma","OK")))</f>
        <v/>
      </c>
      <c r="R236" s="32" t="str">
        <f aca="false">IF($A236="","",IF(OR($N236&lt;&gt;"",$O236="⚠ Çakışma",$P236="⚠ Çakışma",$Q236="⚠ Çakışma"),"⚠ Kontrol Et","✓ Uygun"))</f>
        <v/>
      </c>
    </row>
    <row r="237" customFormat="false" ht="13.5" hidden="false" customHeight="true" outlineLevel="0" collapsed="false">
      <c r="A237" s="32" t="str">
        <f aca="false">IF('2-Gastronomi'!A34="","","Gastronomi ve Mutfak Sanatları")</f>
        <v/>
      </c>
      <c r="B237" s="32" t="str">
        <f aca="false">IF($A237="","",IF('2-Gastronomi'!A34="","",'2-Gastronomi'!A34))</f>
        <v/>
      </c>
      <c r="C237" s="33" t="str">
        <f aca="false">IF($A237="","",IF('2-Gastronomi'!B34="","",'2-Gastronomi'!B34))</f>
        <v/>
      </c>
      <c r="D237" s="32" t="str">
        <f aca="false">IF($A237="","",IF('2-Gastronomi'!C34="","",'2-Gastronomi'!C34))</f>
        <v/>
      </c>
      <c r="E237" s="32" t="str">
        <f aca="false">IF($A237="","",$A237&amp;"-"&amp;$D237)</f>
        <v/>
      </c>
      <c r="F237" s="32" t="str">
        <f aca="false">IF($A237="","",IF('2-Gastronomi'!D34="","",'2-Gastronomi'!D34))</f>
        <v/>
      </c>
      <c r="G237" s="32" t="str">
        <f aca="false">IF($A237="","",IF('2-Gastronomi'!E34="","",'2-Gastronomi'!E34))</f>
        <v/>
      </c>
      <c r="H237" s="32" t="str">
        <f aca="false">IF($A237="","",IF('2-Gastronomi'!F34="","",'2-Gastronomi'!F34))</f>
        <v/>
      </c>
      <c r="I237" s="32" t="str">
        <f aca="false">IF($A237="","",IF('2-Gastronomi'!G34="","",'2-Gastronomi'!G34))</f>
        <v/>
      </c>
      <c r="J237" s="32" t="str">
        <f aca="false">IF($A237="","",IF('2-Gastronomi'!H34="","",'2-Gastronomi'!H34))</f>
        <v/>
      </c>
      <c r="K237" s="32" t="str">
        <f aca="false">IF($A237="","",IF('2-Gastronomi'!I34="","",'2-Gastronomi'!I34))</f>
        <v/>
      </c>
      <c r="L237" s="32" t="str">
        <f aca="false">IF($I237="","",MATCH($I237,{"08.00";"09.00";"10.00";"11.00";"12.00";"13.00";"14.00";"15.00";"16.00";"17.00"},0))</f>
        <v/>
      </c>
      <c r="M237" s="32" t="str">
        <f aca="false">IF(OR($L237="",$J237=""),"",$L237+$J237-1)</f>
        <v/>
      </c>
      <c r="N237" s="32" t="str">
        <f aca="false">IF($A237="","",IF(OR($L237="",$M237=""),"",IF($M237&gt;10,"⚠ Saat Taşıyor","")))</f>
        <v/>
      </c>
      <c r="O237" s="32" t="str">
        <f aca="false">IF($A237="","",IF(OR($G237="",$H237="",$L237=""),"",IF(SUMPRODUCT(($A$7:$A$606&lt;&gt;"")*($G$7:$G$606=$G237)*($H$7:$H$606=$H237)*(ROW($A$7:$A$606)&lt;&gt;237)*($L$7:$L$606&lt;=$M237)*($M$7:$M$606&gt;=$L237))&gt;0,"⚠ Çakışma","OK")))</f>
        <v/>
      </c>
      <c r="P237" s="32" t="str">
        <f aca="false">IF($A237="","",IF(OR($K237="",$H237="",$L237=""),"",IF(SUMPRODUCT(($A$7:$A$606&lt;&gt;"")*($K$7:$K$606=$K237)*($H$7:$H$606=$H237)*(ROW($A$7:$A$606)&lt;&gt;237)*($L$7:$L$606&lt;=$M237)*($M$7:$M$606&gt;=$L237))&gt;0,"⚠ Çakışma","OK")))</f>
        <v/>
      </c>
      <c r="Q237" s="32" t="str">
        <f aca="false">IF($A237="","",IF(OR($E237="",$H237="",$L237=""),"",IF(SUMPRODUCT(($A$7:$A$606&lt;&gt;"")*($E$7:$E$606=$E237)*($H$7:$H$606=$H237)*(ROW($A$7:$A$606)&lt;&gt;237)*($L$7:$L$606&lt;=$M237)*($M$7:$M$606&gt;=$L237))&gt;0,"⚠ Çakışma","OK")))</f>
        <v/>
      </c>
      <c r="R237" s="32" t="str">
        <f aca="false">IF($A237="","",IF(OR($N237&lt;&gt;"",$O237="⚠ Çakışma",$P237="⚠ Çakışma",$Q237="⚠ Çakışma"),"⚠ Kontrol Et","✓ Uygun"))</f>
        <v/>
      </c>
    </row>
    <row r="238" customFormat="false" ht="13.5" hidden="false" customHeight="true" outlineLevel="0" collapsed="false">
      <c r="A238" s="32" t="str">
        <f aca="false">IF('2-Gastronomi'!A35="","","Gastronomi ve Mutfak Sanatları")</f>
        <v/>
      </c>
      <c r="B238" s="32" t="str">
        <f aca="false">IF($A238="","",IF('2-Gastronomi'!A35="","",'2-Gastronomi'!A35))</f>
        <v/>
      </c>
      <c r="C238" s="33" t="str">
        <f aca="false">IF($A238="","",IF('2-Gastronomi'!B35="","",'2-Gastronomi'!B35))</f>
        <v/>
      </c>
      <c r="D238" s="32" t="str">
        <f aca="false">IF($A238="","",IF('2-Gastronomi'!C35="","",'2-Gastronomi'!C35))</f>
        <v/>
      </c>
      <c r="E238" s="32" t="str">
        <f aca="false">IF($A238="","",$A238&amp;"-"&amp;$D238)</f>
        <v/>
      </c>
      <c r="F238" s="32" t="str">
        <f aca="false">IF($A238="","",IF('2-Gastronomi'!D35="","",'2-Gastronomi'!D35))</f>
        <v/>
      </c>
      <c r="G238" s="32" t="str">
        <f aca="false">IF($A238="","",IF('2-Gastronomi'!E35="","",'2-Gastronomi'!E35))</f>
        <v/>
      </c>
      <c r="H238" s="32" t="str">
        <f aca="false">IF($A238="","",IF('2-Gastronomi'!F35="","",'2-Gastronomi'!F35))</f>
        <v/>
      </c>
      <c r="I238" s="32" t="str">
        <f aca="false">IF($A238="","",IF('2-Gastronomi'!G35="","",'2-Gastronomi'!G35))</f>
        <v/>
      </c>
      <c r="J238" s="32" t="str">
        <f aca="false">IF($A238="","",IF('2-Gastronomi'!H35="","",'2-Gastronomi'!H35))</f>
        <v/>
      </c>
      <c r="K238" s="32" t="str">
        <f aca="false">IF($A238="","",IF('2-Gastronomi'!I35="","",'2-Gastronomi'!I35))</f>
        <v/>
      </c>
      <c r="L238" s="32" t="str">
        <f aca="false">IF($I238="","",MATCH($I238,{"08.00";"09.00";"10.00";"11.00";"12.00";"13.00";"14.00";"15.00";"16.00";"17.00"},0))</f>
        <v/>
      </c>
      <c r="M238" s="32" t="str">
        <f aca="false">IF(OR($L238="",$J238=""),"",$L238+$J238-1)</f>
        <v/>
      </c>
      <c r="N238" s="32" t="str">
        <f aca="false">IF($A238="","",IF(OR($L238="",$M238=""),"",IF($M238&gt;10,"⚠ Saat Taşıyor","")))</f>
        <v/>
      </c>
      <c r="O238" s="32" t="str">
        <f aca="false">IF($A238="","",IF(OR($G238="",$H238="",$L238=""),"",IF(SUMPRODUCT(($A$7:$A$606&lt;&gt;"")*($G$7:$G$606=$G238)*($H$7:$H$606=$H238)*(ROW($A$7:$A$606)&lt;&gt;238)*($L$7:$L$606&lt;=$M238)*($M$7:$M$606&gt;=$L238))&gt;0,"⚠ Çakışma","OK")))</f>
        <v/>
      </c>
      <c r="P238" s="32" t="str">
        <f aca="false">IF($A238="","",IF(OR($K238="",$H238="",$L238=""),"",IF(SUMPRODUCT(($A$7:$A$606&lt;&gt;"")*($K$7:$K$606=$K238)*($H$7:$H$606=$H238)*(ROW($A$7:$A$606)&lt;&gt;238)*($L$7:$L$606&lt;=$M238)*($M$7:$M$606&gt;=$L238))&gt;0,"⚠ Çakışma","OK")))</f>
        <v/>
      </c>
      <c r="Q238" s="32" t="str">
        <f aca="false">IF($A238="","",IF(OR($E238="",$H238="",$L238=""),"",IF(SUMPRODUCT(($A$7:$A$606&lt;&gt;"")*($E$7:$E$606=$E238)*($H$7:$H$606=$H238)*(ROW($A$7:$A$606)&lt;&gt;238)*($L$7:$L$606&lt;=$M238)*($M$7:$M$606&gt;=$L238))&gt;0,"⚠ Çakışma","OK")))</f>
        <v/>
      </c>
      <c r="R238" s="32" t="str">
        <f aca="false">IF($A238="","",IF(OR($N238&lt;&gt;"",$O238="⚠ Çakışma",$P238="⚠ Çakışma",$Q238="⚠ Çakışma"),"⚠ Kontrol Et","✓ Uygun"))</f>
        <v/>
      </c>
    </row>
    <row r="239" customFormat="false" ht="13.5" hidden="false" customHeight="true" outlineLevel="0" collapsed="false">
      <c r="A239" s="32" t="str">
        <f aca="false">IF('2-Gastronomi'!A36="","","Gastronomi ve Mutfak Sanatları")</f>
        <v/>
      </c>
      <c r="B239" s="32" t="str">
        <f aca="false">IF($A239="","",IF('2-Gastronomi'!A36="","",'2-Gastronomi'!A36))</f>
        <v/>
      </c>
      <c r="C239" s="33" t="str">
        <f aca="false">IF($A239="","",IF('2-Gastronomi'!B36="","",'2-Gastronomi'!B36))</f>
        <v/>
      </c>
      <c r="D239" s="32" t="str">
        <f aca="false">IF($A239="","",IF('2-Gastronomi'!C36="","",'2-Gastronomi'!C36))</f>
        <v/>
      </c>
      <c r="E239" s="32" t="str">
        <f aca="false">IF($A239="","",$A239&amp;"-"&amp;$D239)</f>
        <v/>
      </c>
      <c r="F239" s="32" t="str">
        <f aca="false">IF($A239="","",IF('2-Gastronomi'!D36="","",'2-Gastronomi'!D36))</f>
        <v/>
      </c>
      <c r="G239" s="32" t="str">
        <f aca="false">IF($A239="","",IF('2-Gastronomi'!E36="","",'2-Gastronomi'!E36))</f>
        <v/>
      </c>
      <c r="H239" s="32" t="str">
        <f aca="false">IF($A239="","",IF('2-Gastronomi'!F36="","",'2-Gastronomi'!F36))</f>
        <v/>
      </c>
      <c r="I239" s="32" t="str">
        <f aca="false">IF($A239="","",IF('2-Gastronomi'!G36="","",'2-Gastronomi'!G36))</f>
        <v/>
      </c>
      <c r="J239" s="32" t="str">
        <f aca="false">IF($A239="","",IF('2-Gastronomi'!H36="","",'2-Gastronomi'!H36))</f>
        <v/>
      </c>
      <c r="K239" s="32" t="str">
        <f aca="false">IF($A239="","",IF('2-Gastronomi'!I36="","",'2-Gastronomi'!I36))</f>
        <v/>
      </c>
      <c r="L239" s="32" t="str">
        <f aca="false">IF($I239="","",MATCH($I239,{"08.00";"09.00";"10.00";"11.00";"12.00";"13.00";"14.00";"15.00";"16.00";"17.00"},0))</f>
        <v/>
      </c>
      <c r="M239" s="32" t="str">
        <f aca="false">IF(OR($L239="",$J239=""),"",$L239+$J239-1)</f>
        <v/>
      </c>
      <c r="N239" s="32" t="str">
        <f aca="false">IF($A239="","",IF(OR($L239="",$M239=""),"",IF($M239&gt;10,"⚠ Saat Taşıyor","")))</f>
        <v/>
      </c>
      <c r="O239" s="32" t="str">
        <f aca="false">IF($A239="","",IF(OR($G239="",$H239="",$L239=""),"",IF(SUMPRODUCT(($A$7:$A$606&lt;&gt;"")*($G$7:$G$606=$G239)*($H$7:$H$606=$H239)*(ROW($A$7:$A$606)&lt;&gt;239)*($L$7:$L$606&lt;=$M239)*($M$7:$M$606&gt;=$L239))&gt;0,"⚠ Çakışma","OK")))</f>
        <v/>
      </c>
      <c r="P239" s="32" t="str">
        <f aca="false">IF($A239="","",IF(OR($K239="",$H239="",$L239=""),"",IF(SUMPRODUCT(($A$7:$A$606&lt;&gt;"")*($K$7:$K$606=$K239)*($H$7:$H$606=$H239)*(ROW($A$7:$A$606)&lt;&gt;239)*($L$7:$L$606&lt;=$M239)*($M$7:$M$606&gt;=$L239))&gt;0,"⚠ Çakışma","OK")))</f>
        <v/>
      </c>
      <c r="Q239" s="32" t="str">
        <f aca="false">IF($A239="","",IF(OR($E239="",$H239="",$L239=""),"",IF(SUMPRODUCT(($A$7:$A$606&lt;&gt;"")*($E$7:$E$606=$E239)*($H$7:$H$606=$H239)*(ROW($A$7:$A$606)&lt;&gt;239)*($L$7:$L$606&lt;=$M239)*($M$7:$M$606&gt;=$L239))&gt;0,"⚠ Çakışma","OK")))</f>
        <v/>
      </c>
      <c r="R239" s="32" t="str">
        <f aca="false">IF($A239="","",IF(OR($N239&lt;&gt;"",$O239="⚠ Çakışma",$P239="⚠ Çakışma",$Q239="⚠ Çakışma"),"⚠ Kontrol Et","✓ Uygun"))</f>
        <v/>
      </c>
    </row>
    <row r="240" customFormat="false" ht="13.5" hidden="false" customHeight="true" outlineLevel="0" collapsed="false">
      <c r="A240" s="32" t="str">
        <f aca="false">IF('2-Gastronomi'!A37="","","Gastronomi ve Mutfak Sanatları")</f>
        <v/>
      </c>
      <c r="B240" s="32" t="str">
        <f aca="false">IF($A240="","",IF('2-Gastronomi'!A37="","",'2-Gastronomi'!A37))</f>
        <v/>
      </c>
      <c r="C240" s="33" t="str">
        <f aca="false">IF($A240="","",IF('2-Gastronomi'!B37="","",'2-Gastronomi'!B37))</f>
        <v/>
      </c>
      <c r="D240" s="32" t="str">
        <f aca="false">IF($A240="","",IF('2-Gastronomi'!C37="","",'2-Gastronomi'!C37))</f>
        <v/>
      </c>
      <c r="E240" s="32" t="str">
        <f aca="false">IF($A240="","",$A240&amp;"-"&amp;$D240)</f>
        <v/>
      </c>
      <c r="F240" s="32" t="str">
        <f aca="false">IF($A240="","",IF('2-Gastronomi'!D37="","",'2-Gastronomi'!D37))</f>
        <v/>
      </c>
      <c r="G240" s="32" t="str">
        <f aca="false">IF($A240="","",IF('2-Gastronomi'!E37="","",'2-Gastronomi'!E37))</f>
        <v/>
      </c>
      <c r="H240" s="32" t="str">
        <f aca="false">IF($A240="","",IF('2-Gastronomi'!F37="","",'2-Gastronomi'!F37))</f>
        <v/>
      </c>
      <c r="I240" s="32" t="str">
        <f aca="false">IF($A240="","",IF('2-Gastronomi'!G37="","",'2-Gastronomi'!G37))</f>
        <v/>
      </c>
      <c r="J240" s="32" t="str">
        <f aca="false">IF($A240="","",IF('2-Gastronomi'!H37="","",'2-Gastronomi'!H37))</f>
        <v/>
      </c>
      <c r="K240" s="32" t="str">
        <f aca="false">IF($A240="","",IF('2-Gastronomi'!I37="","",'2-Gastronomi'!I37))</f>
        <v/>
      </c>
      <c r="L240" s="32" t="str">
        <f aca="false">IF($I240="","",MATCH($I240,{"08.00";"09.00";"10.00";"11.00";"12.00";"13.00";"14.00";"15.00";"16.00";"17.00"},0))</f>
        <v/>
      </c>
      <c r="M240" s="32" t="str">
        <f aca="false">IF(OR($L240="",$J240=""),"",$L240+$J240-1)</f>
        <v/>
      </c>
      <c r="N240" s="32" t="str">
        <f aca="false">IF($A240="","",IF(OR($L240="",$M240=""),"",IF($M240&gt;10,"⚠ Saat Taşıyor","")))</f>
        <v/>
      </c>
      <c r="O240" s="32" t="str">
        <f aca="false">IF($A240="","",IF(OR($G240="",$H240="",$L240=""),"",IF(SUMPRODUCT(($A$7:$A$606&lt;&gt;"")*($G$7:$G$606=$G240)*($H$7:$H$606=$H240)*(ROW($A$7:$A$606)&lt;&gt;240)*($L$7:$L$606&lt;=$M240)*($M$7:$M$606&gt;=$L240))&gt;0,"⚠ Çakışma","OK")))</f>
        <v/>
      </c>
      <c r="P240" s="32" t="str">
        <f aca="false">IF($A240="","",IF(OR($K240="",$H240="",$L240=""),"",IF(SUMPRODUCT(($A$7:$A$606&lt;&gt;"")*($K$7:$K$606=$K240)*($H$7:$H$606=$H240)*(ROW($A$7:$A$606)&lt;&gt;240)*($L$7:$L$606&lt;=$M240)*($M$7:$M$606&gt;=$L240))&gt;0,"⚠ Çakışma","OK")))</f>
        <v/>
      </c>
      <c r="Q240" s="32" t="str">
        <f aca="false">IF($A240="","",IF(OR($E240="",$H240="",$L240=""),"",IF(SUMPRODUCT(($A$7:$A$606&lt;&gt;"")*($E$7:$E$606=$E240)*($H$7:$H$606=$H240)*(ROW($A$7:$A$606)&lt;&gt;240)*($L$7:$L$606&lt;=$M240)*($M$7:$M$606&gt;=$L240))&gt;0,"⚠ Çakışma","OK")))</f>
        <v/>
      </c>
      <c r="R240" s="32" t="str">
        <f aca="false">IF($A240="","",IF(OR($N240&lt;&gt;"",$O240="⚠ Çakışma",$P240="⚠ Çakışma",$Q240="⚠ Çakışma"),"⚠ Kontrol Et","✓ Uygun"))</f>
        <v/>
      </c>
    </row>
    <row r="241" customFormat="false" ht="13.5" hidden="false" customHeight="true" outlineLevel="0" collapsed="false">
      <c r="A241" s="32" t="str">
        <f aca="false">IF('2-Gastronomi'!A38="","","Gastronomi ve Mutfak Sanatları")</f>
        <v/>
      </c>
      <c r="B241" s="32" t="str">
        <f aca="false">IF($A241="","",IF('2-Gastronomi'!A38="","",'2-Gastronomi'!A38))</f>
        <v/>
      </c>
      <c r="C241" s="33" t="str">
        <f aca="false">IF($A241="","",IF('2-Gastronomi'!B38="","",'2-Gastronomi'!B38))</f>
        <v/>
      </c>
      <c r="D241" s="32" t="str">
        <f aca="false">IF($A241="","",IF('2-Gastronomi'!C38="","",'2-Gastronomi'!C38))</f>
        <v/>
      </c>
      <c r="E241" s="32" t="str">
        <f aca="false">IF($A241="","",$A241&amp;"-"&amp;$D241)</f>
        <v/>
      </c>
      <c r="F241" s="32" t="str">
        <f aca="false">IF($A241="","",IF('2-Gastronomi'!D38="","",'2-Gastronomi'!D38))</f>
        <v/>
      </c>
      <c r="G241" s="32" t="str">
        <f aca="false">IF($A241="","",IF('2-Gastronomi'!E38="","",'2-Gastronomi'!E38))</f>
        <v/>
      </c>
      <c r="H241" s="32" t="str">
        <f aca="false">IF($A241="","",IF('2-Gastronomi'!F38="","",'2-Gastronomi'!F38))</f>
        <v/>
      </c>
      <c r="I241" s="32" t="str">
        <f aca="false">IF($A241="","",IF('2-Gastronomi'!G38="","",'2-Gastronomi'!G38))</f>
        <v/>
      </c>
      <c r="J241" s="32" t="str">
        <f aca="false">IF($A241="","",IF('2-Gastronomi'!H38="","",'2-Gastronomi'!H38))</f>
        <v/>
      </c>
      <c r="K241" s="32" t="str">
        <f aca="false">IF($A241="","",IF('2-Gastronomi'!I38="","",'2-Gastronomi'!I38))</f>
        <v/>
      </c>
      <c r="L241" s="32" t="str">
        <f aca="false">IF($I241="","",MATCH($I241,{"08.00";"09.00";"10.00";"11.00";"12.00";"13.00";"14.00";"15.00";"16.00";"17.00"},0))</f>
        <v/>
      </c>
      <c r="M241" s="32" t="str">
        <f aca="false">IF(OR($L241="",$J241=""),"",$L241+$J241-1)</f>
        <v/>
      </c>
      <c r="N241" s="32" t="str">
        <f aca="false">IF($A241="","",IF(OR($L241="",$M241=""),"",IF($M241&gt;10,"⚠ Saat Taşıyor","")))</f>
        <v/>
      </c>
      <c r="O241" s="32" t="str">
        <f aca="false">IF($A241="","",IF(OR($G241="",$H241="",$L241=""),"",IF(SUMPRODUCT(($A$7:$A$606&lt;&gt;"")*($G$7:$G$606=$G241)*($H$7:$H$606=$H241)*(ROW($A$7:$A$606)&lt;&gt;241)*($L$7:$L$606&lt;=$M241)*($M$7:$M$606&gt;=$L241))&gt;0,"⚠ Çakışma","OK")))</f>
        <v/>
      </c>
      <c r="P241" s="32" t="str">
        <f aca="false">IF($A241="","",IF(OR($K241="",$H241="",$L241=""),"",IF(SUMPRODUCT(($A$7:$A$606&lt;&gt;"")*($K$7:$K$606=$K241)*($H$7:$H$606=$H241)*(ROW($A$7:$A$606)&lt;&gt;241)*($L$7:$L$606&lt;=$M241)*($M$7:$M$606&gt;=$L241))&gt;0,"⚠ Çakışma","OK")))</f>
        <v/>
      </c>
      <c r="Q241" s="32" t="str">
        <f aca="false">IF($A241="","",IF(OR($E241="",$H241="",$L241=""),"",IF(SUMPRODUCT(($A$7:$A$606&lt;&gt;"")*($E$7:$E$606=$E241)*($H$7:$H$606=$H241)*(ROW($A$7:$A$606)&lt;&gt;241)*($L$7:$L$606&lt;=$M241)*($M$7:$M$606&gt;=$L241))&gt;0,"⚠ Çakışma","OK")))</f>
        <v/>
      </c>
      <c r="R241" s="32" t="str">
        <f aca="false">IF($A241="","",IF(OR($N241&lt;&gt;"",$O241="⚠ Çakışma",$P241="⚠ Çakışma",$Q241="⚠ Çakışma"),"⚠ Kontrol Et","✓ Uygun"))</f>
        <v/>
      </c>
    </row>
    <row r="242" customFormat="false" ht="13.5" hidden="false" customHeight="true" outlineLevel="0" collapsed="false">
      <c r="A242" s="32" t="str">
        <f aca="false">IF('2-Gastronomi'!A39="","","Gastronomi ve Mutfak Sanatları")</f>
        <v/>
      </c>
      <c r="B242" s="32" t="str">
        <f aca="false">IF($A242="","",IF('2-Gastronomi'!A39="","",'2-Gastronomi'!A39))</f>
        <v/>
      </c>
      <c r="C242" s="33" t="str">
        <f aca="false">IF($A242="","",IF('2-Gastronomi'!B39="","",'2-Gastronomi'!B39))</f>
        <v/>
      </c>
      <c r="D242" s="32" t="str">
        <f aca="false">IF($A242="","",IF('2-Gastronomi'!C39="","",'2-Gastronomi'!C39))</f>
        <v/>
      </c>
      <c r="E242" s="32" t="str">
        <f aca="false">IF($A242="","",$A242&amp;"-"&amp;$D242)</f>
        <v/>
      </c>
      <c r="F242" s="32" t="str">
        <f aca="false">IF($A242="","",IF('2-Gastronomi'!D39="","",'2-Gastronomi'!D39))</f>
        <v/>
      </c>
      <c r="G242" s="32" t="str">
        <f aca="false">IF($A242="","",IF('2-Gastronomi'!E39="","",'2-Gastronomi'!E39))</f>
        <v/>
      </c>
      <c r="H242" s="32" t="str">
        <f aca="false">IF($A242="","",IF('2-Gastronomi'!F39="","",'2-Gastronomi'!F39))</f>
        <v/>
      </c>
      <c r="I242" s="32" t="str">
        <f aca="false">IF($A242="","",IF('2-Gastronomi'!G39="","",'2-Gastronomi'!G39))</f>
        <v/>
      </c>
      <c r="J242" s="32" t="str">
        <f aca="false">IF($A242="","",IF('2-Gastronomi'!H39="","",'2-Gastronomi'!H39))</f>
        <v/>
      </c>
      <c r="K242" s="32" t="str">
        <f aca="false">IF($A242="","",IF('2-Gastronomi'!I39="","",'2-Gastronomi'!I39))</f>
        <v/>
      </c>
      <c r="L242" s="32" t="str">
        <f aca="false">IF($I242="","",MATCH($I242,{"08.00";"09.00";"10.00";"11.00";"12.00";"13.00";"14.00";"15.00";"16.00";"17.00"},0))</f>
        <v/>
      </c>
      <c r="M242" s="32" t="str">
        <f aca="false">IF(OR($L242="",$J242=""),"",$L242+$J242-1)</f>
        <v/>
      </c>
      <c r="N242" s="32" t="str">
        <f aca="false">IF($A242="","",IF(OR($L242="",$M242=""),"",IF($M242&gt;10,"⚠ Saat Taşıyor","")))</f>
        <v/>
      </c>
      <c r="O242" s="32" t="str">
        <f aca="false">IF($A242="","",IF(OR($G242="",$H242="",$L242=""),"",IF(SUMPRODUCT(($A$7:$A$606&lt;&gt;"")*($G$7:$G$606=$G242)*($H$7:$H$606=$H242)*(ROW($A$7:$A$606)&lt;&gt;242)*($L$7:$L$606&lt;=$M242)*($M$7:$M$606&gt;=$L242))&gt;0,"⚠ Çakışma","OK")))</f>
        <v/>
      </c>
      <c r="P242" s="32" t="str">
        <f aca="false">IF($A242="","",IF(OR($K242="",$H242="",$L242=""),"",IF(SUMPRODUCT(($A$7:$A$606&lt;&gt;"")*($K$7:$K$606=$K242)*($H$7:$H$606=$H242)*(ROW($A$7:$A$606)&lt;&gt;242)*($L$7:$L$606&lt;=$M242)*($M$7:$M$606&gt;=$L242))&gt;0,"⚠ Çakışma","OK")))</f>
        <v/>
      </c>
      <c r="Q242" s="32" t="str">
        <f aca="false">IF($A242="","",IF(OR($E242="",$H242="",$L242=""),"",IF(SUMPRODUCT(($A$7:$A$606&lt;&gt;"")*($E$7:$E$606=$E242)*($H$7:$H$606=$H242)*(ROW($A$7:$A$606)&lt;&gt;242)*($L$7:$L$606&lt;=$M242)*($M$7:$M$606&gt;=$L242))&gt;0,"⚠ Çakışma","OK")))</f>
        <v/>
      </c>
      <c r="R242" s="32" t="str">
        <f aca="false">IF($A242="","",IF(OR($N242&lt;&gt;"",$O242="⚠ Çakışma",$P242="⚠ Çakışma",$Q242="⚠ Çakışma"),"⚠ Kontrol Et","✓ Uygun"))</f>
        <v/>
      </c>
    </row>
    <row r="243" customFormat="false" ht="13.5" hidden="false" customHeight="true" outlineLevel="0" collapsed="false">
      <c r="A243" s="32" t="str">
        <f aca="false">IF('2-Gastronomi'!A40="","","Gastronomi ve Mutfak Sanatları")</f>
        <v/>
      </c>
      <c r="B243" s="32" t="str">
        <f aca="false">IF($A243="","",IF('2-Gastronomi'!A40="","",'2-Gastronomi'!A40))</f>
        <v/>
      </c>
      <c r="C243" s="33" t="str">
        <f aca="false">IF($A243="","",IF('2-Gastronomi'!B40="","",'2-Gastronomi'!B40))</f>
        <v/>
      </c>
      <c r="D243" s="32" t="str">
        <f aca="false">IF($A243="","",IF('2-Gastronomi'!C40="","",'2-Gastronomi'!C40))</f>
        <v/>
      </c>
      <c r="E243" s="32" t="str">
        <f aca="false">IF($A243="","",$A243&amp;"-"&amp;$D243)</f>
        <v/>
      </c>
      <c r="F243" s="32" t="str">
        <f aca="false">IF($A243="","",IF('2-Gastronomi'!D40="","",'2-Gastronomi'!D40))</f>
        <v/>
      </c>
      <c r="G243" s="32" t="str">
        <f aca="false">IF($A243="","",IF('2-Gastronomi'!E40="","",'2-Gastronomi'!E40))</f>
        <v/>
      </c>
      <c r="H243" s="32" t="str">
        <f aca="false">IF($A243="","",IF('2-Gastronomi'!F40="","",'2-Gastronomi'!F40))</f>
        <v/>
      </c>
      <c r="I243" s="32" t="str">
        <f aca="false">IF($A243="","",IF('2-Gastronomi'!G40="","",'2-Gastronomi'!G40))</f>
        <v/>
      </c>
      <c r="J243" s="32" t="str">
        <f aca="false">IF($A243="","",IF('2-Gastronomi'!H40="","",'2-Gastronomi'!H40))</f>
        <v/>
      </c>
      <c r="K243" s="32" t="str">
        <f aca="false">IF($A243="","",IF('2-Gastronomi'!I40="","",'2-Gastronomi'!I40))</f>
        <v/>
      </c>
      <c r="L243" s="32" t="str">
        <f aca="false">IF($I243="","",MATCH($I243,{"08.00";"09.00";"10.00";"11.00";"12.00";"13.00";"14.00";"15.00";"16.00";"17.00"},0))</f>
        <v/>
      </c>
      <c r="M243" s="32" t="str">
        <f aca="false">IF(OR($L243="",$J243=""),"",$L243+$J243-1)</f>
        <v/>
      </c>
      <c r="N243" s="32" t="str">
        <f aca="false">IF($A243="","",IF(OR($L243="",$M243=""),"",IF($M243&gt;10,"⚠ Saat Taşıyor","")))</f>
        <v/>
      </c>
      <c r="O243" s="32" t="str">
        <f aca="false">IF($A243="","",IF(OR($G243="",$H243="",$L243=""),"",IF(SUMPRODUCT(($A$7:$A$606&lt;&gt;"")*($G$7:$G$606=$G243)*($H$7:$H$606=$H243)*(ROW($A$7:$A$606)&lt;&gt;243)*($L$7:$L$606&lt;=$M243)*($M$7:$M$606&gt;=$L243))&gt;0,"⚠ Çakışma","OK")))</f>
        <v/>
      </c>
      <c r="P243" s="32" t="str">
        <f aca="false">IF($A243="","",IF(OR($K243="",$H243="",$L243=""),"",IF(SUMPRODUCT(($A$7:$A$606&lt;&gt;"")*($K$7:$K$606=$K243)*($H$7:$H$606=$H243)*(ROW($A$7:$A$606)&lt;&gt;243)*($L$7:$L$606&lt;=$M243)*($M$7:$M$606&gt;=$L243))&gt;0,"⚠ Çakışma","OK")))</f>
        <v/>
      </c>
      <c r="Q243" s="32" t="str">
        <f aca="false">IF($A243="","",IF(OR($E243="",$H243="",$L243=""),"",IF(SUMPRODUCT(($A$7:$A$606&lt;&gt;"")*($E$7:$E$606=$E243)*($H$7:$H$606=$H243)*(ROW($A$7:$A$606)&lt;&gt;243)*($L$7:$L$606&lt;=$M243)*($M$7:$M$606&gt;=$L243))&gt;0,"⚠ Çakışma","OK")))</f>
        <v/>
      </c>
      <c r="R243" s="32" t="str">
        <f aca="false">IF($A243="","",IF(OR($N243&lt;&gt;"",$O243="⚠ Çakışma",$P243="⚠ Çakışma",$Q243="⚠ Çakışma"),"⚠ Kontrol Et","✓ Uygun"))</f>
        <v/>
      </c>
    </row>
    <row r="244" customFormat="false" ht="13.5" hidden="false" customHeight="true" outlineLevel="0" collapsed="false">
      <c r="A244" s="32" t="str">
        <f aca="false">IF('2-Gastronomi'!A41="","","Gastronomi ve Mutfak Sanatları")</f>
        <v/>
      </c>
      <c r="B244" s="32" t="str">
        <f aca="false">IF($A244="","",IF('2-Gastronomi'!A41="","",'2-Gastronomi'!A41))</f>
        <v/>
      </c>
      <c r="C244" s="33" t="str">
        <f aca="false">IF($A244="","",IF('2-Gastronomi'!B41="","",'2-Gastronomi'!B41))</f>
        <v/>
      </c>
      <c r="D244" s="32" t="str">
        <f aca="false">IF($A244="","",IF('2-Gastronomi'!C41="","",'2-Gastronomi'!C41))</f>
        <v/>
      </c>
      <c r="E244" s="32" t="str">
        <f aca="false">IF($A244="","",$A244&amp;"-"&amp;$D244)</f>
        <v/>
      </c>
      <c r="F244" s="32" t="str">
        <f aca="false">IF($A244="","",IF('2-Gastronomi'!D41="","",'2-Gastronomi'!D41))</f>
        <v/>
      </c>
      <c r="G244" s="32" t="str">
        <f aca="false">IF($A244="","",IF('2-Gastronomi'!E41="","",'2-Gastronomi'!E41))</f>
        <v/>
      </c>
      <c r="H244" s="32" t="str">
        <f aca="false">IF($A244="","",IF('2-Gastronomi'!F41="","",'2-Gastronomi'!F41))</f>
        <v/>
      </c>
      <c r="I244" s="32" t="str">
        <f aca="false">IF($A244="","",IF('2-Gastronomi'!G41="","",'2-Gastronomi'!G41))</f>
        <v/>
      </c>
      <c r="J244" s="32" t="str">
        <f aca="false">IF($A244="","",IF('2-Gastronomi'!H41="","",'2-Gastronomi'!H41))</f>
        <v/>
      </c>
      <c r="K244" s="32" t="str">
        <f aca="false">IF($A244="","",IF('2-Gastronomi'!I41="","",'2-Gastronomi'!I41))</f>
        <v/>
      </c>
      <c r="L244" s="32" t="str">
        <f aca="false">IF($I244="","",MATCH($I244,{"08.00";"09.00";"10.00";"11.00";"12.00";"13.00";"14.00";"15.00";"16.00";"17.00"},0))</f>
        <v/>
      </c>
      <c r="M244" s="32" t="str">
        <f aca="false">IF(OR($L244="",$J244=""),"",$L244+$J244-1)</f>
        <v/>
      </c>
      <c r="N244" s="32" t="str">
        <f aca="false">IF($A244="","",IF(OR($L244="",$M244=""),"",IF($M244&gt;10,"⚠ Saat Taşıyor","")))</f>
        <v/>
      </c>
      <c r="O244" s="32" t="str">
        <f aca="false">IF($A244="","",IF(OR($G244="",$H244="",$L244=""),"",IF(SUMPRODUCT(($A$7:$A$606&lt;&gt;"")*($G$7:$G$606=$G244)*($H$7:$H$606=$H244)*(ROW($A$7:$A$606)&lt;&gt;244)*($L$7:$L$606&lt;=$M244)*($M$7:$M$606&gt;=$L244))&gt;0,"⚠ Çakışma","OK")))</f>
        <v/>
      </c>
      <c r="P244" s="32" t="str">
        <f aca="false">IF($A244="","",IF(OR($K244="",$H244="",$L244=""),"",IF(SUMPRODUCT(($A$7:$A$606&lt;&gt;"")*($K$7:$K$606=$K244)*($H$7:$H$606=$H244)*(ROW($A$7:$A$606)&lt;&gt;244)*($L$7:$L$606&lt;=$M244)*($M$7:$M$606&gt;=$L244))&gt;0,"⚠ Çakışma","OK")))</f>
        <v/>
      </c>
      <c r="Q244" s="32" t="str">
        <f aca="false">IF($A244="","",IF(OR($E244="",$H244="",$L244=""),"",IF(SUMPRODUCT(($A$7:$A$606&lt;&gt;"")*($E$7:$E$606=$E244)*($H$7:$H$606=$H244)*(ROW($A$7:$A$606)&lt;&gt;244)*($L$7:$L$606&lt;=$M244)*($M$7:$M$606&gt;=$L244))&gt;0,"⚠ Çakışma","OK")))</f>
        <v/>
      </c>
      <c r="R244" s="32" t="str">
        <f aca="false">IF($A244="","",IF(OR($N244&lt;&gt;"",$O244="⚠ Çakışma",$P244="⚠ Çakışma",$Q244="⚠ Çakışma"),"⚠ Kontrol Et","✓ Uygun"))</f>
        <v/>
      </c>
    </row>
    <row r="245" customFormat="false" ht="13.5" hidden="false" customHeight="true" outlineLevel="0" collapsed="false">
      <c r="A245" s="32" t="str">
        <f aca="false">IF('2-Gastronomi'!A42="","","Gastronomi ve Mutfak Sanatları")</f>
        <v/>
      </c>
      <c r="B245" s="32" t="str">
        <f aca="false">IF($A245="","",IF('2-Gastronomi'!A42="","",'2-Gastronomi'!A42))</f>
        <v/>
      </c>
      <c r="C245" s="33" t="str">
        <f aca="false">IF($A245="","",IF('2-Gastronomi'!B42="","",'2-Gastronomi'!B42))</f>
        <v/>
      </c>
      <c r="D245" s="32" t="str">
        <f aca="false">IF($A245="","",IF('2-Gastronomi'!C42="","",'2-Gastronomi'!C42))</f>
        <v/>
      </c>
      <c r="E245" s="32" t="str">
        <f aca="false">IF($A245="","",$A245&amp;"-"&amp;$D245)</f>
        <v/>
      </c>
      <c r="F245" s="32" t="str">
        <f aca="false">IF($A245="","",IF('2-Gastronomi'!D42="","",'2-Gastronomi'!D42))</f>
        <v/>
      </c>
      <c r="G245" s="32" t="str">
        <f aca="false">IF($A245="","",IF('2-Gastronomi'!E42="","",'2-Gastronomi'!E42))</f>
        <v/>
      </c>
      <c r="H245" s="32" t="str">
        <f aca="false">IF($A245="","",IF('2-Gastronomi'!F42="","",'2-Gastronomi'!F42))</f>
        <v/>
      </c>
      <c r="I245" s="32" t="str">
        <f aca="false">IF($A245="","",IF('2-Gastronomi'!G42="","",'2-Gastronomi'!G42))</f>
        <v/>
      </c>
      <c r="J245" s="32" t="str">
        <f aca="false">IF($A245="","",IF('2-Gastronomi'!H42="","",'2-Gastronomi'!H42))</f>
        <v/>
      </c>
      <c r="K245" s="32" t="str">
        <f aca="false">IF($A245="","",IF('2-Gastronomi'!I42="","",'2-Gastronomi'!I42))</f>
        <v/>
      </c>
      <c r="L245" s="32" t="str">
        <f aca="false">IF($I245="","",MATCH($I245,{"08.00";"09.00";"10.00";"11.00";"12.00";"13.00";"14.00";"15.00";"16.00";"17.00"},0))</f>
        <v/>
      </c>
      <c r="M245" s="32" t="str">
        <f aca="false">IF(OR($L245="",$J245=""),"",$L245+$J245-1)</f>
        <v/>
      </c>
      <c r="N245" s="32" t="str">
        <f aca="false">IF($A245="","",IF(OR($L245="",$M245=""),"",IF($M245&gt;10,"⚠ Saat Taşıyor","")))</f>
        <v/>
      </c>
      <c r="O245" s="32" t="str">
        <f aca="false">IF($A245="","",IF(OR($G245="",$H245="",$L245=""),"",IF(SUMPRODUCT(($A$7:$A$606&lt;&gt;"")*($G$7:$G$606=$G245)*($H$7:$H$606=$H245)*(ROW($A$7:$A$606)&lt;&gt;245)*($L$7:$L$606&lt;=$M245)*($M$7:$M$606&gt;=$L245))&gt;0,"⚠ Çakışma","OK")))</f>
        <v/>
      </c>
      <c r="P245" s="32" t="str">
        <f aca="false">IF($A245="","",IF(OR($K245="",$H245="",$L245=""),"",IF(SUMPRODUCT(($A$7:$A$606&lt;&gt;"")*($K$7:$K$606=$K245)*($H$7:$H$606=$H245)*(ROW($A$7:$A$606)&lt;&gt;245)*($L$7:$L$606&lt;=$M245)*($M$7:$M$606&gt;=$L245))&gt;0,"⚠ Çakışma","OK")))</f>
        <v/>
      </c>
      <c r="Q245" s="32" t="str">
        <f aca="false">IF($A245="","",IF(OR($E245="",$H245="",$L245=""),"",IF(SUMPRODUCT(($A$7:$A$606&lt;&gt;"")*($E$7:$E$606=$E245)*($H$7:$H$606=$H245)*(ROW($A$7:$A$606)&lt;&gt;245)*($L$7:$L$606&lt;=$M245)*($M$7:$M$606&gt;=$L245))&gt;0,"⚠ Çakışma","OK")))</f>
        <v/>
      </c>
      <c r="R245" s="32" t="str">
        <f aca="false">IF($A245="","",IF(OR($N245&lt;&gt;"",$O245="⚠ Çakışma",$P245="⚠ Çakışma",$Q245="⚠ Çakışma"),"⚠ Kontrol Et","✓ Uygun"))</f>
        <v/>
      </c>
    </row>
    <row r="246" customFormat="false" ht="13.5" hidden="false" customHeight="true" outlineLevel="0" collapsed="false">
      <c r="A246" s="32" t="str">
        <f aca="false">IF('2-Gastronomi'!A43="","","Gastronomi ve Mutfak Sanatları")</f>
        <v/>
      </c>
      <c r="B246" s="32" t="str">
        <f aca="false">IF($A246="","",IF('2-Gastronomi'!A43="","",'2-Gastronomi'!A43))</f>
        <v/>
      </c>
      <c r="C246" s="33" t="str">
        <f aca="false">IF($A246="","",IF('2-Gastronomi'!B43="","",'2-Gastronomi'!B43))</f>
        <v/>
      </c>
      <c r="D246" s="32" t="str">
        <f aca="false">IF($A246="","",IF('2-Gastronomi'!C43="","",'2-Gastronomi'!C43))</f>
        <v/>
      </c>
      <c r="E246" s="32" t="str">
        <f aca="false">IF($A246="","",$A246&amp;"-"&amp;$D246)</f>
        <v/>
      </c>
      <c r="F246" s="32" t="str">
        <f aca="false">IF($A246="","",IF('2-Gastronomi'!D43="","",'2-Gastronomi'!D43))</f>
        <v/>
      </c>
      <c r="G246" s="32" t="str">
        <f aca="false">IF($A246="","",IF('2-Gastronomi'!E43="","",'2-Gastronomi'!E43))</f>
        <v/>
      </c>
      <c r="H246" s="32" t="str">
        <f aca="false">IF($A246="","",IF('2-Gastronomi'!F43="","",'2-Gastronomi'!F43))</f>
        <v/>
      </c>
      <c r="I246" s="32" t="str">
        <f aca="false">IF($A246="","",IF('2-Gastronomi'!G43="","",'2-Gastronomi'!G43))</f>
        <v/>
      </c>
      <c r="J246" s="32" t="str">
        <f aca="false">IF($A246="","",IF('2-Gastronomi'!H43="","",'2-Gastronomi'!H43))</f>
        <v/>
      </c>
      <c r="K246" s="32" t="str">
        <f aca="false">IF($A246="","",IF('2-Gastronomi'!I43="","",'2-Gastronomi'!I43))</f>
        <v/>
      </c>
      <c r="L246" s="32" t="str">
        <f aca="false">IF($I246="","",MATCH($I246,{"08.00";"09.00";"10.00";"11.00";"12.00";"13.00";"14.00";"15.00";"16.00";"17.00"},0))</f>
        <v/>
      </c>
      <c r="M246" s="32" t="str">
        <f aca="false">IF(OR($L246="",$J246=""),"",$L246+$J246-1)</f>
        <v/>
      </c>
      <c r="N246" s="32" t="str">
        <f aca="false">IF($A246="","",IF(OR($L246="",$M246=""),"",IF($M246&gt;10,"⚠ Saat Taşıyor","")))</f>
        <v/>
      </c>
      <c r="O246" s="32" t="str">
        <f aca="false">IF($A246="","",IF(OR($G246="",$H246="",$L246=""),"",IF(SUMPRODUCT(($A$7:$A$606&lt;&gt;"")*($G$7:$G$606=$G246)*($H$7:$H$606=$H246)*(ROW($A$7:$A$606)&lt;&gt;246)*($L$7:$L$606&lt;=$M246)*($M$7:$M$606&gt;=$L246))&gt;0,"⚠ Çakışma","OK")))</f>
        <v/>
      </c>
      <c r="P246" s="32" t="str">
        <f aca="false">IF($A246="","",IF(OR($K246="",$H246="",$L246=""),"",IF(SUMPRODUCT(($A$7:$A$606&lt;&gt;"")*($K$7:$K$606=$K246)*($H$7:$H$606=$H246)*(ROW($A$7:$A$606)&lt;&gt;246)*($L$7:$L$606&lt;=$M246)*($M$7:$M$606&gt;=$L246))&gt;0,"⚠ Çakışma","OK")))</f>
        <v/>
      </c>
      <c r="Q246" s="32" t="str">
        <f aca="false">IF($A246="","",IF(OR($E246="",$H246="",$L246=""),"",IF(SUMPRODUCT(($A$7:$A$606&lt;&gt;"")*($E$7:$E$606=$E246)*($H$7:$H$606=$H246)*(ROW($A$7:$A$606)&lt;&gt;246)*($L$7:$L$606&lt;=$M246)*($M$7:$M$606&gt;=$L246))&gt;0,"⚠ Çakışma","OK")))</f>
        <v/>
      </c>
      <c r="R246" s="32" t="str">
        <f aca="false">IF($A246="","",IF(OR($N246&lt;&gt;"",$O246="⚠ Çakışma",$P246="⚠ Çakışma",$Q246="⚠ Çakışma"),"⚠ Kontrol Et","✓ Uygun"))</f>
        <v/>
      </c>
    </row>
    <row r="247" customFormat="false" ht="13.5" hidden="false" customHeight="true" outlineLevel="0" collapsed="false">
      <c r="A247" s="32" t="str">
        <f aca="false">IF('2-Gastronomi'!A44="","","Gastronomi ve Mutfak Sanatları")</f>
        <v/>
      </c>
      <c r="B247" s="32" t="str">
        <f aca="false">IF($A247="","",IF('2-Gastronomi'!A44="","",'2-Gastronomi'!A44))</f>
        <v/>
      </c>
      <c r="C247" s="33" t="str">
        <f aca="false">IF($A247="","",IF('2-Gastronomi'!B44="","",'2-Gastronomi'!B44))</f>
        <v/>
      </c>
      <c r="D247" s="32" t="str">
        <f aca="false">IF($A247="","",IF('2-Gastronomi'!C44="","",'2-Gastronomi'!C44))</f>
        <v/>
      </c>
      <c r="E247" s="32" t="str">
        <f aca="false">IF($A247="","",$A247&amp;"-"&amp;$D247)</f>
        <v/>
      </c>
      <c r="F247" s="32" t="str">
        <f aca="false">IF($A247="","",IF('2-Gastronomi'!D44="","",'2-Gastronomi'!D44))</f>
        <v/>
      </c>
      <c r="G247" s="32" t="str">
        <f aca="false">IF($A247="","",IF('2-Gastronomi'!E44="","",'2-Gastronomi'!E44))</f>
        <v/>
      </c>
      <c r="H247" s="32" t="str">
        <f aca="false">IF($A247="","",IF('2-Gastronomi'!F44="","",'2-Gastronomi'!F44))</f>
        <v/>
      </c>
      <c r="I247" s="32" t="str">
        <f aca="false">IF($A247="","",IF('2-Gastronomi'!G44="","",'2-Gastronomi'!G44))</f>
        <v/>
      </c>
      <c r="J247" s="32" t="str">
        <f aca="false">IF($A247="","",IF('2-Gastronomi'!H44="","",'2-Gastronomi'!H44))</f>
        <v/>
      </c>
      <c r="K247" s="32" t="str">
        <f aca="false">IF($A247="","",IF('2-Gastronomi'!I44="","",'2-Gastronomi'!I44))</f>
        <v/>
      </c>
      <c r="L247" s="32" t="str">
        <f aca="false">IF($I247="","",MATCH($I247,{"08.00";"09.00";"10.00";"11.00";"12.00";"13.00";"14.00";"15.00";"16.00";"17.00"},0))</f>
        <v/>
      </c>
      <c r="M247" s="32" t="str">
        <f aca="false">IF(OR($L247="",$J247=""),"",$L247+$J247-1)</f>
        <v/>
      </c>
      <c r="N247" s="32" t="str">
        <f aca="false">IF($A247="","",IF(OR($L247="",$M247=""),"",IF($M247&gt;10,"⚠ Saat Taşıyor","")))</f>
        <v/>
      </c>
      <c r="O247" s="32" t="str">
        <f aca="false">IF($A247="","",IF(OR($G247="",$H247="",$L247=""),"",IF(SUMPRODUCT(($A$7:$A$606&lt;&gt;"")*($G$7:$G$606=$G247)*($H$7:$H$606=$H247)*(ROW($A$7:$A$606)&lt;&gt;247)*($L$7:$L$606&lt;=$M247)*($M$7:$M$606&gt;=$L247))&gt;0,"⚠ Çakışma","OK")))</f>
        <v/>
      </c>
      <c r="P247" s="32" t="str">
        <f aca="false">IF($A247="","",IF(OR($K247="",$H247="",$L247=""),"",IF(SUMPRODUCT(($A$7:$A$606&lt;&gt;"")*($K$7:$K$606=$K247)*($H$7:$H$606=$H247)*(ROW($A$7:$A$606)&lt;&gt;247)*($L$7:$L$606&lt;=$M247)*($M$7:$M$606&gt;=$L247))&gt;0,"⚠ Çakışma","OK")))</f>
        <v/>
      </c>
      <c r="Q247" s="32" t="str">
        <f aca="false">IF($A247="","",IF(OR($E247="",$H247="",$L247=""),"",IF(SUMPRODUCT(($A$7:$A$606&lt;&gt;"")*($E$7:$E$606=$E247)*($H$7:$H$606=$H247)*(ROW($A$7:$A$606)&lt;&gt;247)*($L$7:$L$606&lt;=$M247)*($M$7:$M$606&gt;=$L247))&gt;0,"⚠ Çakışma","OK")))</f>
        <v/>
      </c>
      <c r="R247" s="32" t="str">
        <f aca="false">IF($A247="","",IF(OR($N247&lt;&gt;"",$O247="⚠ Çakışma",$P247="⚠ Çakışma",$Q247="⚠ Çakışma"),"⚠ Kontrol Et","✓ Uygun"))</f>
        <v/>
      </c>
    </row>
    <row r="248" customFormat="false" ht="13.5" hidden="false" customHeight="true" outlineLevel="0" collapsed="false">
      <c r="A248" s="32" t="str">
        <f aca="false">IF('2-Gastronomi'!A45="","","Gastronomi ve Mutfak Sanatları")</f>
        <v/>
      </c>
      <c r="B248" s="32" t="str">
        <f aca="false">IF($A248="","",IF('2-Gastronomi'!A45="","",'2-Gastronomi'!A45))</f>
        <v/>
      </c>
      <c r="C248" s="33" t="str">
        <f aca="false">IF($A248="","",IF('2-Gastronomi'!B45="","",'2-Gastronomi'!B45))</f>
        <v/>
      </c>
      <c r="D248" s="32" t="str">
        <f aca="false">IF($A248="","",IF('2-Gastronomi'!C45="","",'2-Gastronomi'!C45))</f>
        <v/>
      </c>
      <c r="E248" s="32" t="str">
        <f aca="false">IF($A248="","",$A248&amp;"-"&amp;$D248)</f>
        <v/>
      </c>
      <c r="F248" s="32" t="str">
        <f aca="false">IF($A248="","",IF('2-Gastronomi'!D45="","",'2-Gastronomi'!D45))</f>
        <v/>
      </c>
      <c r="G248" s="32" t="str">
        <f aca="false">IF($A248="","",IF('2-Gastronomi'!E45="","",'2-Gastronomi'!E45))</f>
        <v/>
      </c>
      <c r="H248" s="32" t="str">
        <f aca="false">IF($A248="","",IF('2-Gastronomi'!F45="","",'2-Gastronomi'!F45))</f>
        <v/>
      </c>
      <c r="I248" s="32" t="str">
        <f aca="false">IF($A248="","",IF('2-Gastronomi'!G45="","",'2-Gastronomi'!G45))</f>
        <v/>
      </c>
      <c r="J248" s="32" t="str">
        <f aca="false">IF($A248="","",IF('2-Gastronomi'!H45="","",'2-Gastronomi'!H45))</f>
        <v/>
      </c>
      <c r="K248" s="32" t="str">
        <f aca="false">IF($A248="","",IF('2-Gastronomi'!I45="","",'2-Gastronomi'!I45))</f>
        <v/>
      </c>
      <c r="L248" s="32" t="str">
        <f aca="false">IF($I248="","",MATCH($I248,{"08.00";"09.00";"10.00";"11.00";"12.00";"13.00";"14.00";"15.00";"16.00";"17.00"},0))</f>
        <v/>
      </c>
      <c r="M248" s="32" t="str">
        <f aca="false">IF(OR($L248="",$J248=""),"",$L248+$J248-1)</f>
        <v/>
      </c>
      <c r="N248" s="32" t="str">
        <f aca="false">IF($A248="","",IF(OR($L248="",$M248=""),"",IF($M248&gt;10,"⚠ Saat Taşıyor","")))</f>
        <v/>
      </c>
      <c r="O248" s="32" t="str">
        <f aca="false">IF($A248="","",IF(OR($G248="",$H248="",$L248=""),"",IF(SUMPRODUCT(($A$7:$A$606&lt;&gt;"")*($G$7:$G$606=$G248)*($H$7:$H$606=$H248)*(ROW($A$7:$A$606)&lt;&gt;248)*($L$7:$L$606&lt;=$M248)*($M$7:$M$606&gt;=$L248))&gt;0,"⚠ Çakışma","OK")))</f>
        <v/>
      </c>
      <c r="P248" s="32" t="str">
        <f aca="false">IF($A248="","",IF(OR($K248="",$H248="",$L248=""),"",IF(SUMPRODUCT(($A$7:$A$606&lt;&gt;"")*($K$7:$K$606=$K248)*($H$7:$H$606=$H248)*(ROW($A$7:$A$606)&lt;&gt;248)*($L$7:$L$606&lt;=$M248)*($M$7:$M$606&gt;=$L248))&gt;0,"⚠ Çakışma","OK")))</f>
        <v/>
      </c>
      <c r="Q248" s="32" t="str">
        <f aca="false">IF($A248="","",IF(OR($E248="",$H248="",$L248=""),"",IF(SUMPRODUCT(($A$7:$A$606&lt;&gt;"")*($E$7:$E$606=$E248)*($H$7:$H$606=$H248)*(ROW($A$7:$A$606)&lt;&gt;248)*($L$7:$L$606&lt;=$M248)*($M$7:$M$606&gt;=$L248))&gt;0,"⚠ Çakışma","OK")))</f>
        <v/>
      </c>
      <c r="R248" s="32" t="str">
        <f aca="false">IF($A248="","",IF(OR($N248&lt;&gt;"",$O248="⚠ Çakışma",$P248="⚠ Çakışma",$Q248="⚠ Çakışma"),"⚠ Kontrol Et","✓ Uygun"))</f>
        <v/>
      </c>
    </row>
    <row r="249" customFormat="false" ht="13.5" hidden="false" customHeight="true" outlineLevel="0" collapsed="false">
      <c r="A249" s="32" t="str">
        <f aca="false">IF('2-Gastronomi'!A46="","","Gastronomi ve Mutfak Sanatları")</f>
        <v/>
      </c>
      <c r="B249" s="32" t="str">
        <f aca="false">IF($A249="","",IF('2-Gastronomi'!A46="","",'2-Gastronomi'!A46))</f>
        <v/>
      </c>
      <c r="C249" s="33" t="str">
        <f aca="false">IF($A249="","",IF('2-Gastronomi'!B46="","",'2-Gastronomi'!B46))</f>
        <v/>
      </c>
      <c r="D249" s="32" t="str">
        <f aca="false">IF($A249="","",IF('2-Gastronomi'!C46="","",'2-Gastronomi'!C46))</f>
        <v/>
      </c>
      <c r="E249" s="32" t="str">
        <f aca="false">IF($A249="","",$A249&amp;"-"&amp;$D249)</f>
        <v/>
      </c>
      <c r="F249" s="32" t="str">
        <f aca="false">IF($A249="","",IF('2-Gastronomi'!D46="","",'2-Gastronomi'!D46))</f>
        <v/>
      </c>
      <c r="G249" s="32" t="str">
        <f aca="false">IF($A249="","",IF('2-Gastronomi'!E46="","",'2-Gastronomi'!E46))</f>
        <v/>
      </c>
      <c r="H249" s="32" t="str">
        <f aca="false">IF($A249="","",IF('2-Gastronomi'!F46="","",'2-Gastronomi'!F46))</f>
        <v/>
      </c>
      <c r="I249" s="32" t="str">
        <f aca="false">IF($A249="","",IF('2-Gastronomi'!G46="","",'2-Gastronomi'!G46))</f>
        <v/>
      </c>
      <c r="J249" s="32" t="str">
        <f aca="false">IF($A249="","",IF('2-Gastronomi'!H46="","",'2-Gastronomi'!H46))</f>
        <v/>
      </c>
      <c r="K249" s="32" t="str">
        <f aca="false">IF($A249="","",IF('2-Gastronomi'!I46="","",'2-Gastronomi'!I46))</f>
        <v/>
      </c>
      <c r="L249" s="32" t="str">
        <f aca="false">IF($I249="","",MATCH($I249,{"08.00";"09.00";"10.00";"11.00";"12.00";"13.00";"14.00";"15.00";"16.00";"17.00"},0))</f>
        <v/>
      </c>
      <c r="M249" s="32" t="str">
        <f aca="false">IF(OR($L249="",$J249=""),"",$L249+$J249-1)</f>
        <v/>
      </c>
      <c r="N249" s="32" t="str">
        <f aca="false">IF($A249="","",IF(OR($L249="",$M249=""),"",IF($M249&gt;10,"⚠ Saat Taşıyor","")))</f>
        <v/>
      </c>
      <c r="O249" s="32" t="str">
        <f aca="false">IF($A249="","",IF(OR($G249="",$H249="",$L249=""),"",IF(SUMPRODUCT(($A$7:$A$606&lt;&gt;"")*($G$7:$G$606=$G249)*($H$7:$H$606=$H249)*(ROW($A$7:$A$606)&lt;&gt;249)*($L$7:$L$606&lt;=$M249)*($M$7:$M$606&gt;=$L249))&gt;0,"⚠ Çakışma","OK")))</f>
        <v/>
      </c>
      <c r="P249" s="32" t="str">
        <f aca="false">IF($A249="","",IF(OR($K249="",$H249="",$L249=""),"",IF(SUMPRODUCT(($A$7:$A$606&lt;&gt;"")*($K$7:$K$606=$K249)*($H$7:$H$606=$H249)*(ROW($A$7:$A$606)&lt;&gt;249)*($L$7:$L$606&lt;=$M249)*($M$7:$M$606&gt;=$L249))&gt;0,"⚠ Çakışma","OK")))</f>
        <v/>
      </c>
      <c r="Q249" s="32" t="str">
        <f aca="false">IF($A249="","",IF(OR($E249="",$H249="",$L249=""),"",IF(SUMPRODUCT(($A$7:$A$606&lt;&gt;"")*($E$7:$E$606=$E249)*($H$7:$H$606=$H249)*(ROW($A$7:$A$606)&lt;&gt;249)*($L$7:$L$606&lt;=$M249)*($M$7:$M$606&gt;=$L249))&gt;0,"⚠ Çakışma","OK")))</f>
        <v/>
      </c>
      <c r="R249" s="32" t="str">
        <f aca="false">IF($A249="","",IF(OR($N249&lt;&gt;"",$O249="⚠ Çakışma",$P249="⚠ Çakışma",$Q249="⚠ Çakışma"),"⚠ Kontrol Et","✓ Uygun"))</f>
        <v/>
      </c>
    </row>
    <row r="250" customFormat="false" ht="13.5" hidden="false" customHeight="true" outlineLevel="0" collapsed="false">
      <c r="A250" s="32" t="str">
        <f aca="false">IF('2-Gastronomi'!A47="","","Gastronomi ve Mutfak Sanatları")</f>
        <v/>
      </c>
      <c r="B250" s="32" t="str">
        <f aca="false">IF($A250="","",IF('2-Gastronomi'!A47="","",'2-Gastronomi'!A47))</f>
        <v/>
      </c>
      <c r="C250" s="33" t="str">
        <f aca="false">IF($A250="","",IF('2-Gastronomi'!B47="","",'2-Gastronomi'!B47))</f>
        <v/>
      </c>
      <c r="D250" s="32" t="str">
        <f aca="false">IF($A250="","",IF('2-Gastronomi'!C47="","",'2-Gastronomi'!C47))</f>
        <v/>
      </c>
      <c r="E250" s="32" t="str">
        <f aca="false">IF($A250="","",$A250&amp;"-"&amp;$D250)</f>
        <v/>
      </c>
      <c r="F250" s="32" t="str">
        <f aca="false">IF($A250="","",IF('2-Gastronomi'!D47="","",'2-Gastronomi'!D47))</f>
        <v/>
      </c>
      <c r="G250" s="32" t="str">
        <f aca="false">IF($A250="","",IF('2-Gastronomi'!E47="","",'2-Gastronomi'!E47))</f>
        <v/>
      </c>
      <c r="H250" s="32" t="str">
        <f aca="false">IF($A250="","",IF('2-Gastronomi'!F47="","",'2-Gastronomi'!F47))</f>
        <v/>
      </c>
      <c r="I250" s="32" t="str">
        <f aca="false">IF($A250="","",IF('2-Gastronomi'!G47="","",'2-Gastronomi'!G47))</f>
        <v/>
      </c>
      <c r="J250" s="32" t="str">
        <f aca="false">IF($A250="","",IF('2-Gastronomi'!H47="","",'2-Gastronomi'!H47))</f>
        <v/>
      </c>
      <c r="K250" s="32" t="str">
        <f aca="false">IF($A250="","",IF('2-Gastronomi'!I47="","",'2-Gastronomi'!I47))</f>
        <v/>
      </c>
      <c r="L250" s="32" t="str">
        <f aca="false">IF($I250="","",MATCH($I250,{"08.00";"09.00";"10.00";"11.00";"12.00";"13.00";"14.00";"15.00";"16.00";"17.00"},0))</f>
        <v/>
      </c>
      <c r="M250" s="32" t="str">
        <f aca="false">IF(OR($L250="",$J250=""),"",$L250+$J250-1)</f>
        <v/>
      </c>
      <c r="N250" s="32" t="str">
        <f aca="false">IF($A250="","",IF(OR($L250="",$M250=""),"",IF($M250&gt;10,"⚠ Saat Taşıyor","")))</f>
        <v/>
      </c>
      <c r="O250" s="32" t="str">
        <f aca="false">IF($A250="","",IF(OR($G250="",$H250="",$L250=""),"",IF(SUMPRODUCT(($A$7:$A$606&lt;&gt;"")*($G$7:$G$606=$G250)*($H$7:$H$606=$H250)*(ROW($A$7:$A$606)&lt;&gt;250)*($L$7:$L$606&lt;=$M250)*($M$7:$M$606&gt;=$L250))&gt;0,"⚠ Çakışma","OK")))</f>
        <v/>
      </c>
      <c r="P250" s="32" t="str">
        <f aca="false">IF($A250="","",IF(OR($K250="",$H250="",$L250=""),"",IF(SUMPRODUCT(($A$7:$A$606&lt;&gt;"")*($K$7:$K$606=$K250)*($H$7:$H$606=$H250)*(ROW($A$7:$A$606)&lt;&gt;250)*($L$7:$L$606&lt;=$M250)*($M$7:$M$606&gt;=$L250))&gt;0,"⚠ Çakışma","OK")))</f>
        <v/>
      </c>
      <c r="Q250" s="32" t="str">
        <f aca="false">IF($A250="","",IF(OR($E250="",$H250="",$L250=""),"",IF(SUMPRODUCT(($A$7:$A$606&lt;&gt;"")*($E$7:$E$606=$E250)*($H$7:$H$606=$H250)*(ROW($A$7:$A$606)&lt;&gt;250)*($L$7:$L$606&lt;=$M250)*($M$7:$M$606&gt;=$L250))&gt;0,"⚠ Çakışma","OK")))</f>
        <v/>
      </c>
      <c r="R250" s="32" t="str">
        <f aca="false">IF($A250="","",IF(OR($N250&lt;&gt;"",$O250="⚠ Çakışma",$P250="⚠ Çakışma",$Q250="⚠ Çakışma"),"⚠ Kontrol Et","✓ Uygun"))</f>
        <v/>
      </c>
    </row>
    <row r="251" customFormat="false" ht="13.5" hidden="false" customHeight="true" outlineLevel="0" collapsed="false">
      <c r="A251" s="32" t="str">
        <f aca="false">IF('2-Gastronomi'!A48="","","Gastronomi ve Mutfak Sanatları")</f>
        <v/>
      </c>
      <c r="B251" s="32" t="str">
        <f aca="false">IF($A251="","",IF('2-Gastronomi'!A48="","",'2-Gastronomi'!A48))</f>
        <v/>
      </c>
      <c r="C251" s="33" t="str">
        <f aca="false">IF($A251="","",IF('2-Gastronomi'!B48="","",'2-Gastronomi'!B48))</f>
        <v/>
      </c>
      <c r="D251" s="32" t="str">
        <f aca="false">IF($A251="","",IF('2-Gastronomi'!C48="","",'2-Gastronomi'!C48))</f>
        <v/>
      </c>
      <c r="E251" s="32" t="str">
        <f aca="false">IF($A251="","",$A251&amp;"-"&amp;$D251)</f>
        <v/>
      </c>
      <c r="F251" s="32" t="str">
        <f aca="false">IF($A251="","",IF('2-Gastronomi'!D48="","",'2-Gastronomi'!D48))</f>
        <v/>
      </c>
      <c r="G251" s="32" t="str">
        <f aca="false">IF($A251="","",IF('2-Gastronomi'!E48="","",'2-Gastronomi'!E48))</f>
        <v/>
      </c>
      <c r="H251" s="32" t="str">
        <f aca="false">IF($A251="","",IF('2-Gastronomi'!F48="","",'2-Gastronomi'!F48))</f>
        <v/>
      </c>
      <c r="I251" s="32" t="str">
        <f aca="false">IF($A251="","",IF('2-Gastronomi'!G48="","",'2-Gastronomi'!G48))</f>
        <v/>
      </c>
      <c r="J251" s="32" t="str">
        <f aca="false">IF($A251="","",IF('2-Gastronomi'!H48="","",'2-Gastronomi'!H48))</f>
        <v/>
      </c>
      <c r="K251" s="32" t="str">
        <f aca="false">IF($A251="","",IF('2-Gastronomi'!I48="","",'2-Gastronomi'!I48))</f>
        <v/>
      </c>
      <c r="L251" s="32" t="str">
        <f aca="false">IF($I251="","",MATCH($I251,{"08.00";"09.00";"10.00";"11.00";"12.00";"13.00";"14.00";"15.00";"16.00";"17.00"},0))</f>
        <v/>
      </c>
      <c r="M251" s="32" t="str">
        <f aca="false">IF(OR($L251="",$J251=""),"",$L251+$J251-1)</f>
        <v/>
      </c>
      <c r="N251" s="32" t="str">
        <f aca="false">IF($A251="","",IF(OR($L251="",$M251=""),"",IF($M251&gt;10,"⚠ Saat Taşıyor","")))</f>
        <v/>
      </c>
      <c r="O251" s="32" t="str">
        <f aca="false">IF($A251="","",IF(OR($G251="",$H251="",$L251=""),"",IF(SUMPRODUCT(($A$7:$A$606&lt;&gt;"")*($G$7:$G$606=$G251)*($H$7:$H$606=$H251)*(ROW($A$7:$A$606)&lt;&gt;251)*($L$7:$L$606&lt;=$M251)*($M$7:$M$606&gt;=$L251))&gt;0,"⚠ Çakışma","OK")))</f>
        <v/>
      </c>
      <c r="P251" s="32" t="str">
        <f aca="false">IF($A251="","",IF(OR($K251="",$H251="",$L251=""),"",IF(SUMPRODUCT(($A$7:$A$606&lt;&gt;"")*($K$7:$K$606=$K251)*($H$7:$H$606=$H251)*(ROW($A$7:$A$606)&lt;&gt;251)*($L$7:$L$606&lt;=$M251)*($M$7:$M$606&gt;=$L251))&gt;0,"⚠ Çakışma","OK")))</f>
        <v/>
      </c>
      <c r="Q251" s="32" t="str">
        <f aca="false">IF($A251="","",IF(OR($E251="",$H251="",$L251=""),"",IF(SUMPRODUCT(($A$7:$A$606&lt;&gt;"")*($E$7:$E$606=$E251)*($H$7:$H$606=$H251)*(ROW($A$7:$A$606)&lt;&gt;251)*($L$7:$L$606&lt;=$M251)*($M$7:$M$606&gt;=$L251))&gt;0,"⚠ Çakışma","OK")))</f>
        <v/>
      </c>
      <c r="R251" s="32" t="str">
        <f aca="false">IF($A251="","",IF(OR($N251&lt;&gt;"",$O251="⚠ Çakışma",$P251="⚠ Çakışma",$Q251="⚠ Çakışma"),"⚠ Kontrol Et","✓ Uygun"))</f>
        <v/>
      </c>
    </row>
    <row r="252" customFormat="false" ht="13.5" hidden="false" customHeight="true" outlineLevel="0" collapsed="false">
      <c r="A252" s="32" t="str">
        <f aca="false">IF('2-Gastronomi'!A49="","","Gastronomi ve Mutfak Sanatları")</f>
        <v/>
      </c>
      <c r="B252" s="32" t="str">
        <f aca="false">IF($A252="","",IF('2-Gastronomi'!A49="","",'2-Gastronomi'!A49))</f>
        <v/>
      </c>
      <c r="C252" s="33" t="str">
        <f aca="false">IF($A252="","",IF('2-Gastronomi'!B49="","",'2-Gastronomi'!B49))</f>
        <v/>
      </c>
      <c r="D252" s="32" t="str">
        <f aca="false">IF($A252="","",IF('2-Gastronomi'!C49="","",'2-Gastronomi'!C49))</f>
        <v/>
      </c>
      <c r="E252" s="32" t="str">
        <f aca="false">IF($A252="","",$A252&amp;"-"&amp;$D252)</f>
        <v/>
      </c>
      <c r="F252" s="32" t="str">
        <f aca="false">IF($A252="","",IF('2-Gastronomi'!D49="","",'2-Gastronomi'!D49))</f>
        <v/>
      </c>
      <c r="G252" s="32" t="str">
        <f aca="false">IF($A252="","",IF('2-Gastronomi'!E49="","",'2-Gastronomi'!E49))</f>
        <v/>
      </c>
      <c r="H252" s="32" t="str">
        <f aca="false">IF($A252="","",IF('2-Gastronomi'!F49="","",'2-Gastronomi'!F49))</f>
        <v/>
      </c>
      <c r="I252" s="32" t="str">
        <f aca="false">IF($A252="","",IF('2-Gastronomi'!G49="","",'2-Gastronomi'!G49))</f>
        <v/>
      </c>
      <c r="J252" s="32" t="str">
        <f aca="false">IF($A252="","",IF('2-Gastronomi'!H49="","",'2-Gastronomi'!H49))</f>
        <v/>
      </c>
      <c r="K252" s="32" t="str">
        <f aca="false">IF($A252="","",IF('2-Gastronomi'!I49="","",'2-Gastronomi'!I49))</f>
        <v/>
      </c>
      <c r="L252" s="32" t="str">
        <f aca="false">IF($I252="","",MATCH($I252,{"08.00";"09.00";"10.00";"11.00";"12.00";"13.00";"14.00";"15.00";"16.00";"17.00"},0))</f>
        <v/>
      </c>
      <c r="M252" s="32" t="str">
        <f aca="false">IF(OR($L252="",$J252=""),"",$L252+$J252-1)</f>
        <v/>
      </c>
      <c r="N252" s="32" t="str">
        <f aca="false">IF($A252="","",IF(OR($L252="",$M252=""),"",IF($M252&gt;10,"⚠ Saat Taşıyor","")))</f>
        <v/>
      </c>
      <c r="O252" s="32" t="str">
        <f aca="false">IF($A252="","",IF(OR($G252="",$H252="",$L252=""),"",IF(SUMPRODUCT(($A$7:$A$606&lt;&gt;"")*($G$7:$G$606=$G252)*($H$7:$H$606=$H252)*(ROW($A$7:$A$606)&lt;&gt;252)*($L$7:$L$606&lt;=$M252)*($M$7:$M$606&gt;=$L252))&gt;0,"⚠ Çakışma","OK")))</f>
        <v/>
      </c>
      <c r="P252" s="32" t="str">
        <f aca="false">IF($A252="","",IF(OR($K252="",$H252="",$L252=""),"",IF(SUMPRODUCT(($A$7:$A$606&lt;&gt;"")*($K$7:$K$606=$K252)*($H$7:$H$606=$H252)*(ROW($A$7:$A$606)&lt;&gt;252)*($L$7:$L$606&lt;=$M252)*($M$7:$M$606&gt;=$L252))&gt;0,"⚠ Çakışma","OK")))</f>
        <v/>
      </c>
      <c r="Q252" s="32" t="str">
        <f aca="false">IF($A252="","",IF(OR($E252="",$H252="",$L252=""),"",IF(SUMPRODUCT(($A$7:$A$606&lt;&gt;"")*($E$7:$E$606=$E252)*($H$7:$H$606=$H252)*(ROW($A$7:$A$606)&lt;&gt;252)*($L$7:$L$606&lt;=$M252)*($M$7:$M$606&gt;=$L252))&gt;0,"⚠ Çakışma","OK")))</f>
        <v/>
      </c>
      <c r="R252" s="32" t="str">
        <f aca="false">IF($A252="","",IF(OR($N252&lt;&gt;"",$O252="⚠ Çakışma",$P252="⚠ Çakışma",$Q252="⚠ Çakışma"),"⚠ Kontrol Et","✓ Uygun"))</f>
        <v/>
      </c>
    </row>
    <row r="253" customFormat="false" ht="13.5" hidden="false" customHeight="true" outlineLevel="0" collapsed="false">
      <c r="A253" s="32" t="str">
        <f aca="false">IF('2-Gastronomi'!A50="","","Gastronomi ve Mutfak Sanatları")</f>
        <v/>
      </c>
      <c r="B253" s="32" t="str">
        <f aca="false">IF($A253="","",IF('2-Gastronomi'!A50="","",'2-Gastronomi'!A50))</f>
        <v/>
      </c>
      <c r="C253" s="33" t="str">
        <f aca="false">IF($A253="","",IF('2-Gastronomi'!B50="","",'2-Gastronomi'!B50))</f>
        <v/>
      </c>
      <c r="D253" s="32" t="str">
        <f aca="false">IF($A253="","",IF('2-Gastronomi'!C50="","",'2-Gastronomi'!C50))</f>
        <v/>
      </c>
      <c r="E253" s="32" t="str">
        <f aca="false">IF($A253="","",$A253&amp;"-"&amp;$D253)</f>
        <v/>
      </c>
      <c r="F253" s="32" t="str">
        <f aca="false">IF($A253="","",IF('2-Gastronomi'!D50="","",'2-Gastronomi'!D50))</f>
        <v/>
      </c>
      <c r="G253" s="32" t="str">
        <f aca="false">IF($A253="","",IF('2-Gastronomi'!E50="","",'2-Gastronomi'!E50))</f>
        <v/>
      </c>
      <c r="H253" s="32" t="str">
        <f aca="false">IF($A253="","",IF('2-Gastronomi'!F50="","",'2-Gastronomi'!F50))</f>
        <v/>
      </c>
      <c r="I253" s="32" t="str">
        <f aca="false">IF($A253="","",IF('2-Gastronomi'!G50="","",'2-Gastronomi'!G50))</f>
        <v/>
      </c>
      <c r="J253" s="32" t="str">
        <f aca="false">IF($A253="","",IF('2-Gastronomi'!H50="","",'2-Gastronomi'!H50))</f>
        <v/>
      </c>
      <c r="K253" s="32" t="str">
        <f aca="false">IF($A253="","",IF('2-Gastronomi'!I50="","",'2-Gastronomi'!I50))</f>
        <v/>
      </c>
      <c r="L253" s="32" t="str">
        <f aca="false">IF($I253="","",MATCH($I253,{"08.00";"09.00";"10.00";"11.00";"12.00";"13.00";"14.00";"15.00";"16.00";"17.00"},0))</f>
        <v/>
      </c>
      <c r="M253" s="32" t="str">
        <f aca="false">IF(OR($L253="",$J253=""),"",$L253+$J253-1)</f>
        <v/>
      </c>
      <c r="N253" s="32" t="str">
        <f aca="false">IF($A253="","",IF(OR($L253="",$M253=""),"",IF($M253&gt;10,"⚠ Saat Taşıyor","")))</f>
        <v/>
      </c>
      <c r="O253" s="32" t="str">
        <f aca="false">IF($A253="","",IF(OR($G253="",$H253="",$L253=""),"",IF(SUMPRODUCT(($A$7:$A$606&lt;&gt;"")*($G$7:$G$606=$G253)*($H$7:$H$606=$H253)*(ROW($A$7:$A$606)&lt;&gt;253)*($L$7:$L$606&lt;=$M253)*($M$7:$M$606&gt;=$L253))&gt;0,"⚠ Çakışma","OK")))</f>
        <v/>
      </c>
      <c r="P253" s="32" t="str">
        <f aca="false">IF($A253="","",IF(OR($K253="",$H253="",$L253=""),"",IF(SUMPRODUCT(($A$7:$A$606&lt;&gt;"")*($K$7:$K$606=$K253)*($H$7:$H$606=$H253)*(ROW($A$7:$A$606)&lt;&gt;253)*($L$7:$L$606&lt;=$M253)*($M$7:$M$606&gt;=$L253))&gt;0,"⚠ Çakışma","OK")))</f>
        <v/>
      </c>
      <c r="Q253" s="32" t="str">
        <f aca="false">IF($A253="","",IF(OR($E253="",$H253="",$L253=""),"",IF(SUMPRODUCT(($A$7:$A$606&lt;&gt;"")*($E$7:$E$606=$E253)*($H$7:$H$606=$H253)*(ROW($A$7:$A$606)&lt;&gt;253)*($L$7:$L$606&lt;=$M253)*($M$7:$M$606&gt;=$L253))&gt;0,"⚠ Çakışma","OK")))</f>
        <v/>
      </c>
      <c r="R253" s="32" t="str">
        <f aca="false">IF($A253="","",IF(OR($N253&lt;&gt;"",$O253="⚠ Çakışma",$P253="⚠ Çakışma",$Q253="⚠ Çakışma"),"⚠ Kontrol Et","✓ Uygun"))</f>
        <v/>
      </c>
    </row>
    <row r="254" customFormat="false" ht="13.5" hidden="false" customHeight="true" outlineLevel="0" collapsed="false">
      <c r="A254" s="32" t="str">
        <f aca="false">IF('2-Gastronomi'!A51="","","Gastronomi ve Mutfak Sanatları")</f>
        <v/>
      </c>
      <c r="B254" s="32" t="str">
        <f aca="false">IF($A254="","",IF('2-Gastronomi'!A51="","",'2-Gastronomi'!A51))</f>
        <v/>
      </c>
      <c r="C254" s="33" t="str">
        <f aca="false">IF($A254="","",IF('2-Gastronomi'!B51="","",'2-Gastronomi'!B51))</f>
        <v/>
      </c>
      <c r="D254" s="32" t="str">
        <f aca="false">IF($A254="","",IF('2-Gastronomi'!C51="","",'2-Gastronomi'!C51))</f>
        <v/>
      </c>
      <c r="E254" s="32" t="str">
        <f aca="false">IF($A254="","",$A254&amp;"-"&amp;$D254)</f>
        <v/>
      </c>
      <c r="F254" s="32" t="str">
        <f aca="false">IF($A254="","",IF('2-Gastronomi'!D51="","",'2-Gastronomi'!D51))</f>
        <v/>
      </c>
      <c r="G254" s="32" t="str">
        <f aca="false">IF($A254="","",IF('2-Gastronomi'!E51="","",'2-Gastronomi'!E51))</f>
        <v/>
      </c>
      <c r="H254" s="32" t="str">
        <f aca="false">IF($A254="","",IF('2-Gastronomi'!F51="","",'2-Gastronomi'!F51))</f>
        <v/>
      </c>
      <c r="I254" s="32" t="str">
        <f aca="false">IF($A254="","",IF('2-Gastronomi'!G51="","",'2-Gastronomi'!G51))</f>
        <v/>
      </c>
      <c r="J254" s="32" t="str">
        <f aca="false">IF($A254="","",IF('2-Gastronomi'!H51="","",'2-Gastronomi'!H51))</f>
        <v/>
      </c>
      <c r="K254" s="32" t="str">
        <f aca="false">IF($A254="","",IF('2-Gastronomi'!I51="","",'2-Gastronomi'!I51))</f>
        <v/>
      </c>
      <c r="L254" s="32" t="str">
        <f aca="false">IF($I254="","",MATCH($I254,{"08.00";"09.00";"10.00";"11.00";"12.00";"13.00";"14.00";"15.00";"16.00";"17.00"},0))</f>
        <v/>
      </c>
      <c r="M254" s="32" t="str">
        <f aca="false">IF(OR($L254="",$J254=""),"",$L254+$J254-1)</f>
        <v/>
      </c>
      <c r="N254" s="32" t="str">
        <f aca="false">IF($A254="","",IF(OR($L254="",$M254=""),"",IF($M254&gt;10,"⚠ Saat Taşıyor","")))</f>
        <v/>
      </c>
      <c r="O254" s="32" t="str">
        <f aca="false">IF($A254="","",IF(OR($G254="",$H254="",$L254=""),"",IF(SUMPRODUCT(($A$7:$A$606&lt;&gt;"")*($G$7:$G$606=$G254)*($H$7:$H$606=$H254)*(ROW($A$7:$A$606)&lt;&gt;254)*($L$7:$L$606&lt;=$M254)*($M$7:$M$606&gt;=$L254))&gt;0,"⚠ Çakışma","OK")))</f>
        <v/>
      </c>
      <c r="P254" s="32" t="str">
        <f aca="false">IF($A254="","",IF(OR($K254="",$H254="",$L254=""),"",IF(SUMPRODUCT(($A$7:$A$606&lt;&gt;"")*($K$7:$K$606=$K254)*($H$7:$H$606=$H254)*(ROW($A$7:$A$606)&lt;&gt;254)*($L$7:$L$606&lt;=$M254)*($M$7:$M$606&gt;=$L254))&gt;0,"⚠ Çakışma","OK")))</f>
        <v/>
      </c>
      <c r="Q254" s="32" t="str">
        <f aca="false">IF($A254="","",IF(OR($E254="",$H254="",$L254=""),"",IF(SUMPRODUCT(($A$7:$A$606&lt;&gt;"")*($E$7:$E$606=$E254)*($H$7:$H$606=$H254)*(ROW($A$7:$A$606)&lt;&gt;254)*($L$7:$L$606&lt;=$M254)*($M$7:$M$606&gt;=$L254))&gt;0,"⚠ Çakışma","OK")))</f>
        <v/>
      </c>
      <c r="R254" s="32" t="str">
        <f aca="false">IF($A254="","",IF(OR($N254&lt;&gt;"",$O254="⚠ Çakışma",$P254="⚠ Çakışma",$Q254="⚠ Çakışma"),"⚠ Kontrol Et","✓ Uygun"))</f>
        <v/>
      </c>
    </row>
    <row r="255" customFormat="false" ht="13.5" hidden="false" customHeight="true" outlineLevel="0" collapsed="false">
      <c r="A255" s="32" t="str">
        <f aca="false">IF('2-Gastronomi'!A52="","","Gastronomi ve Mutfak Sanatları")</f>
        <v/>
      </c>
      <c r="B255" s="32" t="str">
        <f aca="false">IF($A255="","",IF('2-Gastronomi'!A52="","",'2-Gastronomi'!A52))</f>
        <v/>
      </c>
      <c r="C255" s="33" t="str">
        <f aca="false">IF($A255="","",IF('2-Gastronomi'!B52="","",'2-Gastronomi'!B52))</f>
        <v/>
      </c>
      <c r="D255" s="32" t="str">
        <f aca="false">IF($A255="","",IF('2-Gastronomi'!C52="","",'2-Gastronomi'!C52))</f>
        <v/>
      </c>
      <c r="E255" s="32" t="str">
        <f aca="false">IF($A255="","",$A255&amp;"-"&amp;$D255)</f>
        <v/>
      </c>
      <c r="F255" s="32" t="str">
        <f aca="false">IF($A255="","",IF('2-Gastronomi'!D52="","",'2-Gastronomi'!D52))</f>
        <v/>
      </c>
      <c r="G255" s="32" t="str">
        <f aca="false">IF($A255="","",IF('2-Gastronomi'!E52="","",'2-Gastronomi'!E52))</f>
        <v/>
      </c>
      <c r="H255" s="32" t="str">
        <f aca="false">IF($A255="","",IF('2-Gastronomi'!F52="","",'2-Gastronomi'!F52))</f>
        <v/>
      </c>
      <c r="I255" s="32" t="str">
        <f aca="false">IF($A255="","",IF('2-Gastronomi'!G52="","",'2-Gastronomi'!G52))</f>
        <v/>
      </c>
      <c r="J255" s="32" t="str">
        <f aca="false">IF($A255="","",IF('2-Gastronomi'!H52="","",'2-Gastronomi'!H52))</f>
        <v/>
      </c>
      <c r="K255" s="32" t="str">
        <f aca="false">IF($A255="","",IF('2-Gastronomi'!I52="","",'2-Gastronomi'!I52))</f>
        <v/>
      </c>
      <c r="L255" s="32" t="str">
        <f aca="false">IF($I255="","",MATCH($I255,{"08.00";"09.00";"10.00";"11.00";"12.00";"13.00";"14.00";"15.00";"16.00";"17.00"},0))</f>
        <v/>
      </c>
      <c r="M255" s="32" t="str">
        <f aca="false">IF(OR($L255="",$J255=""),"",$L255+$J255-1)</f>
        <v/>
      </c>
      <c r="N255" s="32" t="str">
        <f aca="false">IF($A255="","",IF(OR($L255="",$M255=""),"",IF($M255&gt;10,"⚠ Saat Taşıyor","")))</f>
        <v/>
      </c>
      <c r="O255" s="32" t="str">
        <f aca="false">IF($A255="","",IF(OR($G255="",$H255="",$L255=""),"",IF(SUMPRODUCT(($A$7:$A$606&lt;&gt;"")*($G$7:$G$606=$G255)*($H$7:$H$606=$H255)*(ROW($A$7:$A$606)&lt;&gt;255)*($L$7:$L$606&lt;=$M255)*($M$7:$M$606&gt;=$L255))&gt;0,"⚠ Çakışma","OK")))</f>
        <v/>
      </c>
      <c r="P255" s="32" t="str">
        <f aca="false">IF($A255="","",IF(OR($K255="",$H255="",$L255=""),"",IF(SUMPRODUCT(($A$7:$A$606&lt;&gt;"")*($K$7:$K$606=$K255)*($H$7:$H$606=$H255)*(ROW($A$7:$A$606)&lt;&gt;255)*($L$7:$L$606&lt;=$M255)*($M$7:$M$606&gt;=$L255))&gt;0,"⚠ Çakışma","OK")))</f>
        <v/>
      </c>
      <c r="Q255" s="32" t="str">
        <f aca="false">IF($A255="","",IF(OR($E255="",$H255="",$L255=""),"",IF(SUMPRODUCT(($A$7:$A$606&lt;&gt;"")*($E$7:$E$606=$E255)*($H$7:$H$606=$H255)*(ROW($A$7:$A$606)&lt;&gt;255)*($L$7:$L$606&lt;=$M255)*($M$7:$M$606&gt;=$L255))&gt;0,"⚠ Çakışma","OK")))</f>
        <v/>
      </c>
      <c r="R255" s="32" t="str">
        <f aca="false">IF($A255="","",IF(OR($N255&lt;&gt;"",$O255="⚠ Çakışma",$P255="⚠ Çakışma",$Q255="⚠ Çakışma"),"⚠ Kontrol Et","✓ Uygun"))</f>
        <v/>
      </c>
    </row>
    <row r="256" customFormat="false" ht="13.5" hidden="false" customHeight="true" outlineLevel="0" collapsed="false">
      <c r="A256" s="32" t="str">
        <f aca="false">IF('2-Gastronomi'!A53="","","Gastronomi ve Mutfak Sanatları")</f>
        <v/>
      </c>
      <c r="B256" s="32" t="str">
        <f aca="false">IF($A256="","",IF('2-Gastronomi'!A53="","",'2-Gastronomi'!A53))</f>
        <v/>
      </c>
      <c r="C256" s="33" t="str">
        <f aca="false">IF($A256="","",IF('2-Gastronomi'!B53="","",'2-Gastronomi'!B53))</f>
        <v/>
      </c>
      <c r="D256" s="32" t="str">
        <f aca="false">IF($A256="","",IF('2-Gastronomi'!C53="","",'2-Gastronomi'!C53))</f>
        <v/>
      </c>
      <c r="E256" s="32" t="str">
        <f aca="false">IF($A256="","",$A256&amp;"-"&amp;$D256)</f>
        <v/>
      </c>
      <c r="F256" s="32" t="str">
        <f aca="false">IF($A256="","",IF('2-Gastronomi'!D53="","",'2-Gastronomi'!D53))</f>
        <v/>
      </c>
      <c r="G256" s="32" t="str">
        <f aca="false">IF($A256="","",IF('2-Gastronomi'!E53="","",'2-Gastronomi'!E53))</f>
        <v/>
      </c>
      <c r="H256" s="32" t="str">
        <f aca="false">IF($A256="","",IF('2-Gastronomi'!F53="","",'2-Gastronomi'!F53))</f>
        <v/>
      </c>
      <c r="I256" s="32" t="str">
        <f aca="false">IF($A256="","",IF('2-Gastronomi'!G53="","",'2-Gastronomi'!G53))</f>
        <v/>
      </c>
      <c r="J256" s="32" t="str">
        <f aca="false">IF($A256="","",IF('2-Gastronomi'!H53="","",'2-Gastronomi'!H53))</f>
        <v/>
      </c>
      <c r="K256" s="32" t="str">
        <f aca="false">IF($A256="","",IF('2-Gastronomi'!I53="","",'2-Gastronomi'!I53))</f>
        <v/>
      </c>
      <c r="L256" s="32" t="str">
        <f aca="false">IF($I256="","",MATCH($I256,{"08.00";"09.00";"10.00";"11.00";"12.00";"13.00";"14.00";"15.00";"16.00";"17.00"},0))</f>
        <v/>
      </c>
      <c r="M256" s="32" t="str">
        <f aca="false">IF(OR($L256="",$J256=""),"",$L256+$J256-1)</f>
        <v/>
      </c>
      <c r="N256" s="32" t="str">
        <f aca="false">IF($A256="","",IF(OR($L256="",$M256=""),"",IF($M256&gt;10,"⚠ Saat Taşıyor","")))</f>
        <v/>
      </c>
      <c r="O256" s="32" t="str">
        <f aca="false">IF($A256="","",IF(OR($G256="",$H256="",$L256=""),"",IF(SUMPRODUCT(($A$7:$A$606&lt;&gt;"")*($G$7:$G$606=$G256)*($H$7:$H$606=$H256)*(ROW($A$7:$A$606)&lt;&gt;256)*($L$7:$L$606&lt;=$M256)*($M$7:$M$606&gt;=$L256))&gt;0,"⚠ Çakışma","OK")))</f>
        <v/>
      </c>
      <c r="P256" s="32" t="str">
        <f aca="false">IF($A256="","",IF(OR($K256="",$H256="",$L256=""),"",IF(SUMPRODUCT(($A$7:$A$606&lt;&gt;"")*($K$7:$K$606=$K256)*($H$7:$H$606=$H256)*(ROW($A$7:$A$606)&lt;&gt;256)*($L$7:$L$606&lt;=$M256)*($M$7:$M$606&gt;=$L256))&gt;0,"⚠ Çakışma","OK")))</f>
        <v/>
      </c>
      <c r="Q256" s="32" t="str">
        <f aca="false">IF($A256="","",IF(OR($E256="",$H256="",$L256=""),"",IF(SUMPRODUCT(($A$7:$A$606&lt;&gt;"")*($E$7:$E$606=$E256)*($H$7:$H$606=$H256)*(ROW($A$7:$A$606)&lt;&gt;256)*($L$7:$L$606&lt;=$M256)*($M$7:$M$606&gt;=$L256))&gt;0,"⚠ Çakışma","OK")))</f>
        <v/>
      </c>
      <c r="R256" s="32" t="str">
        <f aca="false">IF($A256="","",IF(OR($N256&lt;&gt;"",$O256="⚠ Çakışma",$P256="⚠ Çakışma",$Q256="⚠ Çakışma"),"⚠ Kontrol Et","✓ Uygun"))</f>
        <v/>
      </c>
    </row>
    <row r="257" customFormat="false" ht="13.5" hidden="false" customHeight="true" outlineLevel="0" collapsed="false">
      <c r="A257" s="32" t="str">
        <f aca="false">IF('2-Gastronomi'!A54="","","Gastronomi ve Mutfak Sanatları")</f>
        <v/>
      </c>
      <c r="B257" s="32" t="str">
        <f aca="false">IF($A257="","",IF('2-Gastronomi'!A54="","",'2-Gastronomi'!A54))</f>
        <v/>
      </c>
      <c r="C257" s="33" t="str">
        <f aca="false">IF($A257="","",IF('2-Gastronomi'!B54="","",'2-Gastronomi'!B54))</f>
        <v/>
      </c>
      <c r="D257" s="32" t="str">
        <f aca="false">IF($A257="","",IF('2-Gastronomi'!C54="","",'2-Gastronomi'!C54))</f>
        <v/>
      </c>
      <c r="E257" s="32" t="str">
        <f aca="false">IF($A257="","",$A257&amp;"-"&amp;$D257)</f>
        <v/>
      </c>
      <c r="F257" s="32" t="str">
        <f aca="false">IF($A257="","",IF('2-Gastronomi'!D54="","",'2-Gastronomi'!D54))</f>
        <v/>
      </c>
      <c r="G257" s="32" t="str">
        <f aca="false">IF($A257="","",IF('2-Gastronomi'!E54="","",'2-Gastronomi'!E54))</f>
        <v/>
      </c>
      <c r="H257" s="32" t="str">
        <f aca="false">IF($A257="","",IF('2-Gastronomi'!F54="","",'2-Gastronomi'!F54))</f>
        <v/>
      </c>
      <c r="I257" s="32" t="str">
        <f aca="false">IF($A257="","",IF('2-Gastronomi'!G54="","",'2-Gastronomi'!G54))</f>
        <v/>
      </c>
      <c r="J257" s="32" t="str">
        <f aca="false">IF($A257="","",IF('2-Gastronomi'!H54="","",'2-Gastronomi'!H54))</f>
        <v/>
      </c>
      <c r="K257" s="32" t="str">
        <f aca="false">IF($A257="","",IF('2-Gastronomi'!I54="","",'2-Gastronomi'!I54))</f>
        <v/>
      </c>
      <c r="L257" s="32" t="str">
        <f aca="false">IF($I257="","",MATCH($I257,{"08.00";"09.00";"10.00";"11.00";"12.00";"13.00";"14.00";"15.00";"16.00";"17.00"},0))</f>
        <v/>
      </c>
      <c r="M257" s="32" t="str">
        <f aca="false">IF(OR($L257="",$J257=""),"",$L257+$J257-1)</f>
        <v/>
      </c>
      <c r="N257" s="32" t="str">
        <f aca="false">IF($A257="","",IF(OR($L257="",$M257=""),"",IF($M257&gt;10,"⚠ Saat Taşıyor","")))</f>
        <v/>
      </c>
      <c r="O257" s="32" t="str">
        <f aca="false">IF($A257="","",IF(OR($G257="",$H257="",$L257=""),"",IF(SUMPRODUCT(($A$7:$A$606&lt;&gt;"")*($G$7:$G$606=$G257)*($H$7:$H$606=$H257)*(ROW($A$7:$A$606)&lt;&gt;257)*($L$7:$L$606&lt;=$M257)*($M$7:$M$606&gt;=$L257))&gt;0,"⚠ Çakışma","OK")))</f>
        <v/>
      </c>
      <c r="P257" s="32" t="str">
        <f aca="false">IF($A257="","",IF(OR($K257="",$H257="",$L257=""),"",IF(SUMPRODUCT(($A$7:$A$606&lt;&gt;"")*($K$7:$K$606=$K257)*($H$7:$H$606=$H257)*(ROW($A$7:$A$606)&lt;&gt;257)*($L$7:$L$606&lt;=$M257)*($M$7:$M$606&gt;=$L257))&gt;0,"⚠ Çakışma","OK")))</f>
        <v/>
      </c>
      <c r="Q257" s="32" t="str">
        <f aca="false">IF($A257="","",IF(OR($E257="",$H257="",$L257=""),"",IF(SUMPRODUCT(($A$7:$A$606&lt;&gt;"")*($E$7:$E$606=$E257)*($H$7:$H$606=$H257)*(ROW($A$7:$A$606)&lt;&gt;257)*($L$7:$L$606&lt;=$M257)*($M$7:$M$606&gt;=$L257))&gt;0,"⚠ Çakışma","OK")))</f>
        <v/>
      </c>
      <c r="R257" s="32" t="str">
        <f aca="false">IF($A257="","",IF(OR($N257&lt;&gt;"",$O257="⚠ Çakışma",$P257="⚠ Çakışma",$Q257="⚠ Çakışma"),"⚠ Kontrol Et","✓ Uygun"))</f>
        <v/>
      </c>
    </row>
    <row r="258" customFormat="false" ht="13.5" hidden="false" customHeight="true" outlineLevel="0" collapsed="false">
      <c r="A258" s="32" t="str">
        <f aca="false">IF('2-Gastronomi'!A55="","","Gastronomi ve Mutfak Sanatları")</f>
        <v/>
      </c>
      <c r="B258" s="32" t="str">
        <f aca="false">IF($A258="","",IF('2-Gastronomi'!A55="","",'2-Gastronomi'!A55))</f>
        <v/>
      </c>
      <c r="C258" s="33" t="str">
        <f aca="false">IF($A258="","",IF('2-Gastronomi'!B55="","",'2-Gastronomi'!B55))</f>
        <v/>
      </c>
      <c r="D258" s="32" t="str">
        <f aca="false">IF($A258="","",IF('2-Gastronomi'!C55="","",'2-Gastronomi'!C55))</f>
        <v/>
      </c>
      <c r="E258" s="32" t="str">
        <f aca="false">IF($A258="","",$A258&amp;"-"&amp;$D258)</f>
        <v/>
      </c>
      <c r="F258" s="32" t="str">
        <f aca="false">IF($A258="","",IF('2-Gastronomi'!D55="","",'2-Gastronomi'!D55))</f>
        <v/>
      </c>
      <c r="G258" s="32" t="str">
        <f aca="false">IF($A258="","",IF('2-Gastronomi'!E55="","",'2-Gastronomi'!E55))</f>
        <v/>
      </c>
      <c r="H258" s="32" t="str">
        <f aca="false">IF($A258="","",IF('2-Gastronomi'!F55="","",'2-Gastronomi'!F55))</f>
        <v/>
      </c>
      <c r="I258" s="32" t="str">
        <f aca="false">IF($A258="","",IF('2-Gastronomi'!G55="","",'2-Gastronomi'!G55))</f>
        <v/>
      </c>
      <c r="J258" s="32" t="str">
        <f aca="false">IF($A258="","",IF('2-Gastronomi'!H55="","",'2-Gastronomi'!H55))</f>
        <v/>
      </c>
      <c r="K258" s="32" t="str">
        <f aca="false">IF($A258="","",IF('2-Gastronomi'!I55="","",'2-Gastronomi'!I55))</f>
        <v/>
      </c>
      <c r="L258" s="32" t="str">
        <f aca="false">IF($I258="","",MATCH($I258,{"08.00";"09.00";"10.00";"11.00";"12.00";"13.00";"14.00";"15.00";"16.00";"17.00"},0))</f>
        <v/>
      </c>
      <c r="M258" s="32" t="str">
        <f aca="false">IF(OR($L258="",$J258=""),"",$L258+$J258-1)</f>
        <v/>
      </c>
      <c r="N258" s="32" t="str">
        <f aca="false">IF($A258="","",IF(OR($L258="",$M258=""),"",IF($M258&gt;10,"⚠ Saat Taşıyor","")))</f>
        <v/>
      </c>
      <c r="O258" s="32" t="str">
        <f aca="false">IF($A258="","",IF(OR($G258="",$H258="",$L258=""),"",IF(SUMPRODUCT(($A$7:$A$606&lt;&gt;"")*($G$7:$G$606=$G258)*($H$7:$H$606=$H258)*(ROW($A$7:$A$606)&lt;&gt;258)*($L$7:$L$606&lt;=$M258)*($M$7:$M$606&gt;=$L258))&gt;0,"⚠ Çakışma","OK")))</f>
        <v/>
      </c>
      <c r="P258" s="32" t="str">
        <f aca="false">IF($A258="","",IF(OR($K258="",$H258="",$L258=""),"",IF(SUMPRODUCT(($A$7:$A$606&lt;&gt;"")*($K$7:$K$606=$K258)*($H$7:$H$606=$H258)*(ROW($A$7:$A$606)&lt;&gt;258)*($L$7:$L$606&lt;=$M258)*($M$7:$M$606&gt;=$L258))&gt;0,"⚠ Çakışma","OK")))</f>
        <v/>
      </c>
      <c r="Q258" s="32" t="str">
        <f aca="false">IF($A258="","",IF(OR($E258="",$H258="",$L258=""),"",IF(SUMPRODUCT(($A$7:$A$606&lt;&gt;"")*($E$7:$E$606=$E258)*($H$7:$H$606=$H258)*(ROW($A$7:$A$606)&lt;&gt;258)*($L$7:$L$606&lt;=$M258)*($M$7:$M$606&gt;=$L258))&gt;0,"⚠ Çakışma","OK")))</f>
        <v/>
      </c>
      <c r="R258" s="32" t="str">
        <f aca="false">IF($A258="","",IF(OR($N258&lt;&gt;"",$O258="⚠ Çakışma",$P258="⚠ Çakışma",$Q258="⚠ Çakışma"),"⚠ Kontrol Et","✓ Uygun"))</f>
        <v/>
      </c>
    </row>
    <row r="259" customFormat="false" ht="13.5" hidden="false" customHeight="true" outlineLevel="0" collapsed="false">
      <c r="A259" s="32" t="str">
        <f aca="false">IF('2-Gastronomi'!A56="","","Gastronomi ve Mutfak Sanatları")</f>
        <v/>
      </c>
      <c r="B259" s="32" t="str">
        <f aca="false">IF($A259="","",IF('2-Gastronomi'!A56="","",'2-Gastronomi'!A56))</f>
        <v/>
      </c>
      <c r="C259" s="33" t="str">
        <f aca="false">IF($A259="","",IF('2-Gastronomi'!B56="","",'2-Gastronomi'!B56))</f>
        <v/>
      </c>
      <c r="D259" s="32" t="str">
        <f aca="false">IF($A259="","",IF('2-Gastronomi'!C56="","",'2-Gastronomi'!C56))</f>
        <v/>
      </c>
      <c r="E259" s="32" t="str">
        <f aca="false">IF($A259="","",$A259&amp;"-"&amp;$D259)</f>
        <v/>
      </c>
      <c r="F259" s="32" t="str">
        <f aca="false">IF($A259="","",IF('2-Gastronomi'!D56="","",'2-Gastronomi'!D56))</f>
        <v/>
      </c>
      <c r="G259" s="32" t="str">
        <f aca="false">IF($A259="","",IF('2-Gastronomi'!E56="","",'2-Gastronomi'!E56))</f>
        <v/>
      </c>
      <c r="H259" s="32" t="str">
        <f aca="false">IF($A259="","",IF('2-Gastronomi'!F56="","",'2-Gastronomi'!F56))</f>
        <v/>
      </c>
      <c r="I259" s="32" t="str">
        <f aca="false">IF($A259="","",IF('2-Gastronomi'!G56="","",'2-Gastronomi'!G56))</f>
        <v/>
      </c>
      <c r="J259" s="32" t="str">
        <f aca="false">IF($A259="","",IF('2-Gastronomi'!H56="","",'2-Gastronomi'!H56))</f>
        <v/>
      </c>
      <c r="K259" s="32" t="str">
        <f aca="false">IF($A259="","",IF('2-Gastronomi'!I56="","",'2-Gastronomi'!I56))</f>
        <v/>
      </c>
      <c r="L259" s="32" t="str">
        <f aca="false">IF($I259="","",MATCH($I259,{"08.00";"09.00";"10.00";"11.00";"12.00";"13.00";"14.00";"15.00";"16.00";"17.00"},0))</f>
        <v/>
      </c>
      <c r="M259" s="32" t="str">
        <f aca="false">IF(OR($L259="",$J259=""),"",$L259+$J259-1)</f>
        <v/>
      </c>
      <c r="N259" s="32" t="str">
        <f aca="false">IF($A259="","",IF(OR($L259="",$M259=""),"",IF($M259&gt;10,"⚠ Saat Taşıyor","")))</f>
        <v/>
      </c>
      <c r="O259" s="32" t="str">
        <f aca="false">IF($A259="","",IF(OR($G259="",$H259="",$L259=""),"",IF(SUMPRODUCT(($A$7:$A$606&lt;&gt;"")*($G$7:$G$606=$G259)*($H$7:$H$606=$H259)*(ROW($A$7:$A$606)&lt;&gt;259)*($L$7:$L$606&lt;=$M259)*($M$7:$M$606&gt;=$L259))&gt;0,"⚠ Çakışma","OK")))</f>
        <v/>
      </c>
      <c r="P259" s="32" t="str">
        <f aca="false">IF($A259="","",IF(OR($K259="",$H259="",$L259=""),"",IF(SUMPRODUCT(($A$7:$A$606&lt;&gt;"")*($K$7:$K$606=$K259)*($H$7:$H$606=$H259)*(ROW($A$7:$A$606)&lt;&gt;259)*($L$7:$L$606&lt;=$M259)*($M$7:$M$606&gt;=$L259))&gt;0,"⚠ Çakışma","OK")))</f>
        <v/>
      </c>
      <c r="Q259" s="32" t="str">
        <f aca="false">IF($A259="","",IF(OR($E259="",$H259="",$L259=""),"",IF(SUMPRODUCT(($A$7:$A$606&lt;&gt;"")*($E$7:$E$606=$E259)*($H$7:$H$606=$H259)*(ROW($A$7:$A$606)&lt;&gt;259)*($L$7:$L$606&lt;=$M259)*($M$7:$M$606&gt;=$L259))&gt;0,"⚠ Çakışma","OK")))</f>
        <v/>
      </c>
      <c r="R259" s="32" t="str">
        <f aca="false">IF($A259="","",IF(OR($N259&lt;&gt;"",$O259="⚠ Çakışma",$P259="⚠ Çakışma",$Q259="⚠ Çakışma"),"⚠ Kontrol Et","✓ Uygun"))</f>
        <v/>
      </c>
    </row>
    <row r="260" customFormat="false" ht="13.5" hidden="false" customHeight="true" outlineLevel="0" collapsed="false">
      <c r="A260" s="32" t="str">
        <f aca="false">IF('2-Gastronomi'!A57="","","Gastronomi ve Mutfak Sanatları")</f>
        <v/>
      </c>
      <c r="B260" s="32" t="str">
        <f aca="false">IF($A260="","",IF('2-Gastronomi'!A57="","",'2-Gastronomi'!A57))</f>
        <v/>
      </c>
      <c r="C260" s="33" t="str">
        <f aca="false">IF($A260="","",IF('2-Gastronomi'!B57="","",'2-Gastronomi'!B57))</f>
        <v/>
      </c>
      <c r="D260" s="32" t="str">
        <f aca="false">IF($A260="","",IF('2-Gastronomi'!C57="","",'2-Gastronomi'!C57))</f>
        <v/>
      </c>
      <c r="E260" s="32" t="str">
        <f aca="false">IF($A260="","",$A260&amp;"-"&amp;$D260)</f>
        <v/>
      </c>
      <c r="F260" s="32" t="str">
        <f aca="false">IF($A260="","",IF('2-Gastronomi'!D57="","",'2-Gastronomi'!D57))</f>
        <v/>
      </c>
      <c r="G260" s="32" t="str">
        <f aca="false">IF($A260="","",IF('2-Gastronomi'!E57="","",'2-Gastronomi'!E57))</f>
        <v/>
      </c>
      <c r="H260" s="32" t="str">
        <f aca="false">IF($A260="","",IF('2-Gastronomi'!F57="","",'2-Gastronomi'!F57))</f>
        <v/>
      </c>
      <c r="I260" s="32" t="str">
        <f aca="false">IF($A260="","",IF('2-Gastronomi'!G57="","",'2-Gastronomi'!G57))</f>
        <v/>
      </c>
      <c r="J260" s="32" t="str">
        <f aca="false">IF($A260="","",IF('2-Gastronomi'!H57="","",'2-Gastronomi'!H57))</f>
        <v/>
      </c>
      <c r="K260" s="32" t="str">
        <f aca="false">IF($A260="","",IF('2-Gastronomi'!I57="","",'2-Gastronomi'!I57))</f>
        <v/>
      </c>
      <c r="L260" s="32" t="str">
        <f aca="false">IF($I260="","",MATCH($I260,{"08.00";"09.00";"10.00";"11.00";"12.00";"13.00";"14.00";"15.00";"16.00";"17.00"},0))</f>
        <v/>
      </c>
      <c r="M260" s="32" t="str">
        <f aca="false">IF(OR($L260="",$J260=""),"",$L260+$J260-1)</f>
        <v/>
      </c>
      <c r="N260" s="32" t="str">
        <f aca="false">IF($A260="","",IF(OR($L260="",$M260=""),"",IF($M260&gt;10,"⚠ Saat Taşıyor","")))</f>
        <v/>
      </c>
      <c r="O260" s="32" t="str">
        <f aca="false">IF($A260="","",IF(OR($G260="",$H260="",$L260=""),"",IF(SUMPRODUCT(($A$7:$A$606&lt;&gt;"")*($G$7:$G$606=$G260)*($H$7:$H$606=$H260)*(ROW($A$7:$A$606)&lt;&gt;260)*($L$7:$L$606&lt;=$M260)*($M$7:$M$606&gt;=$L260))&gt;0,"⚠ Çakışma","OK")))</f>
        <v/>
      </c>
      <c r="P260" s="32" t="str">
        <f aca="false">IF($A260="","",IF(OR($K260="",$H260="",$L260=""),"",IF(SUMPRODUCT(($A$7:$A$606&lt;&gt;"")*($K$7:$K$606=$K260)*($H$7:$H$606=$H260)*(ROW($A$7:$A$606)&lt;&gt;260)*($L$7:$L$606&lt;=$M260)*($M$7:$M$606&gt;=$L260))&gt;0,"⚠ Çakışma","OK")))</f>
        <v/>
      </c>
      <c r="Q260" s="32" t="str">
        <f aca="false">IF($A260="","",IF(OR($E260="",$H260="",$L260=""),"",IF(SUMPRODUCT(($A$7:$A$606&lt;&gt;"")*($E$7:$E$606=$E260)*($H$7:$H$606=$H260)*(ROW($A$7:$A$606)&lt;&gt;260)*($L$7:$L$606&lt;=$M260)*($M$7:$M$606&gt;=$L260))&gt;0,"⚠ Çakışma","OK")))</f>
        <v/>
      </c>
      <c r="R260" s="32" t="str">
        <f aca="false">IF($A260="","",IF(OR($N260&lt;&gt;"",$O260="⚠ Çakışma",$P260="⚠ Çakışma",$Q260="⚠ Çakışma"),"⚠ Kontrol Et","✓ Uygun"))</f>
        <v/>
      </c>
    </row>
    <row r="261" customFormat="false" ht="13.5" hidden="false" customHeight="true" outlineLevel="0" collapsed="false">
      <c r="A261" s="32" t="str">
        <f aca="false">IF('2-Gastronomi'!A58="","","Gastronomi ve Mutfak Sanatları")</f>
        <v/>
      </c>
      <c r="B261" s="32" t="str">
        <f aca="false">IF($A261="","",IF('2-Gastronomi'!A58="","",'2-Gastronomi'!A58))</f>
        <v/>
      </c>
      <c r="C261" s="33" t="str">
        <f aca="false">IF($A261="","",IF('2-Gastronomi'!B58="","",'2-Gastronomi'!B58))</f>
        <v/>
      </c>
      <c r="D261" s="32" t="str">
        <f aca="false">IF($A261="","",IF('2-Gastronomi'!C58="","",'2-Gastronomi'!C58))</f>
        <v/>
      </c>
      <c r="E261" s="32" t="str">
        <f aca="false">IF($A261="","",$A261&amp;"-"&amp;$D261)</f>
        <v/>
      </c>
      <c r="F261" s="32" t="str">
        <f aca="false">IF($A261="","",IF('2-Gastronomi'!D58="","",'2-Gastronomi'!D58))</f>
        <v/>
      </c>
      <c r="G261" s="32" t="str">
        <f aca="false">IF($A261="","",IF('2-Gastronomi'!E58="","",'2-Gastronomi'!E58))</f>
        <v/>
      </c>
      <c r="H261" s="32" t="str">
        <f aca="false">IF($A261="","",IF('2-Gastronomi'!F58="","",'2-Gastronomi'!F58))</f>
        <v/>
      </c>
      <c r="I261" s="32" t="str">
        <f aca="false">IF($A261="","",IF('2-Gastronomi'!G58="","",'2-Gastronomi'!G58))</f>
        <v/>
      </c>
      <c r="J261" s="32" t="str">
        <f aca="false">IF($A261="","",IF('2-Gastronomi'!H58="","",'2-Gastronomi'!H58))</f>
        <v/>
      </c>
      <c r="K261" s="32" t="str">
        <f aca="false">IF($A261="","",IF('2-Gastronomi'!I58="","",'2-Gastronomi'!I58))</f>
        <v/>
      </c>
      <c r="L261" s="32" t="str">
        <f aca="false">IF($I261="","",MATCH($I261,{"08.00";"09.00";"10.00";"11.00";"12.00";"13.00";"14.00";"15.00";"16.00";"17.00"},0))</f>
        <v/>
      </c>
      <c r="M261" s="32" t="str">
        <f aca="false">IF(OR($L261="",$J261=""),"",$L261+$J261-1)</f>
        <v/>
      </c>
      <c r="N261" s="32" t="str">
        <f aca="false">IF($A261="","",IF(OR($L261="",$M261=""),"",IF($M261&gt;10,"⚠ Saat Taşıyor","")))</f>
        <v/>
      </c>
      <c r="O261" s="32" t="str">
        <f aca="false">IF($A261="","",IF(OR($G261="",$H261="",$L261=""),"",IF(SUMPRODUCT(($A$7:$A$606&lt;&gt;"")*($G$7:$G$606=$G261)*($H$7:$H$606=$H261)*(ROW($A$7:$A$606)&lt;&gt;261)*($L$7:$L$606&lt;=$M261)*($M$7:$M$606&gt;=$L261))&gt;0,"⚠ Çakışma","OK")))</f>
        <v/>
      </c>
      <c r="P261" s="32" t="str">
        <f aca="false">IF($A261="","",IF(OR($K261="",$H261="",$L261=""),"",IF(SUMPRODUCT(($A$7:$A$606&lt;&gt;"")*($K$7:$K$606=$K261)*($H$7:$H$606=$H261)*(ROW($A$7:$A$606)&lt;&gt;261)*($L$7:$L$606&lt;=$M261)*($M$7:$M$606&gt;=$L261))&gt;0,"⚠ Çakışma","OK")))</f>
        <v/>
      </c>
      <c r="Q261" s="32" t="str">
        <f aca="false">IF($A261="","",IF(OR($E261="",$H261="",$L261=""),"",IF(SUMPRODUCT(($A$7:$A$606&lt;&gt;"")*($E$7:$E$606=$E261)*($H$7:$H$606=$H261)*(ROW($A$7:$A$606)&lt;&gt;261)*($L$7:$L$606&lt;=$M261)*($M$7:$M$606&gt;=$L261))&gt;0,"⚠ Çakışma","OK")))</f>
        <v/>
      </c>
      <c r="R261" s="32" t="str">
        <f aca="false">IF($A261="","",IF(OR($N261&lt;&gt;"",$O261="⚠ Çakışma",$P261="⚠ Çakışma",$Q261="⚠ Çakışma"),"⚠ Kontrol Et","✓ Uygun"))</f>
        <v/>
      </c>
    </row>
    <row r="262" customFormat="false" ht="13.5" hidden="false" customHeight="true" outlineLevel="0" collapsed="false">
      <c r="A262" s="32" t="str">
        <f aca="false">IF('2-Gastronomi'!A59="","","Gastronomi ve Mutfak Sanatları")</f>
        <v/>
      </c>
      <c r="B262" s="32" t="str">
        <f aca="false">IF($A262="","",IF('2-Gastronomi'!A59="","",'2-Gastronomi'!A59))</f>
        <v/>
      </c>
      <c r="C262" s="33" t="str">
        <f aca="false">IF($A262="","",IF('2-Gastronomi'!B59="","",'2-Gastronomi'!B59))</f>
        <v/>
      </c>
      <c r="D262" s="32" t="str">
        <f aca="false">IF($A262="","",IF('2-Gastronomi'!C59="","",'2-Gastronomi'!C59))</f>
        <v/>
      </c>
      <c r="E262" s="32" t="str">
        <f aca="false">IF($A262="","",$A262&amp;"-"&amp;$D262)</f>
        <v/>
      </c>
      <c r="F262" s="32" t="str">
        <f aca="false">IF($A262="","",IF('2-Gastronomi'!D59="","",'2-Gastronomi'!D59))</f>
        <v/>
      </c>
      <c r="G262" s="32" t="str">
        <f aca="false">IF($A262="","",IF('2-Gastronomi'!E59="","",'2-Gastronomi'!E59))</f>
        <v/>
      </c>
      <c r="H262" s="32" t="str">
        <f aca="false">IF($A262="","",IF('2-Gastronomi'!F59="","",'2-Gastronomi'!F59))</f>
        <v/>
      </c>
      <c r="I262" s="32" t="str">
        <f aca="false">IF($A262="","",IF('2-Gastronomi'!G59="","",'2-Gastronomi'!G59))</f>
        <v/>
      </c>
      <c r="J262" s="32" t="str">
        <f aca="false">IF($A262="","",IF('2-Gastronomi'!H59="","",'2-Gastronomi'!H59))</f>
        <v/>
      </c>
      <c r="K262" s="32" t="str">
        <f aca="false">IF($A262="","",IF('2-Gastronomi'!I59="","",'2-Gastronomi'!I59))</f>
        <v/>
      </c>
      <c r="L262" s="32" t="str">
        <f aca="false">IF($I262="","",MATCH($I262,{"08.00";"09.00";"10.00";"11.00";"12.00";"13.00";"14.00";"15.00";"16.00";"17.00"},0))</f>
        <v/>
      </c>
      <c r="M262" s="32" t="str">
        <f aca="false">IF(OR($L262="",$J262=""),"",$L262+$J262-1)</f>
        <v/>
      </c>
      <c r="N262" s="32" t="str">
        <f aca="false">IF($A262="","",IF(OR($L262="",$M262=""),"",IF($M262&gt;10,"⚠ Saat Taşıyor","")))</f>
        <v/>
      </c>
      <c r="O262" s="32" t="str">
        <f aca="false">IF($A262="","",IF(OR($G262="",$H262="",$L262=""),"",IF(SUMPRODUCT(($A$7:$A$606&lt;&gt;"")*($G$7:$G$606=$G262)*($H$7:$H$606=$H262)*(ROW($A$7:$A$606)&lt;&gt;262)*($L$7:$L$606&lt;=$M262)*($M$7:$M$606&gt;=$L262))&gt;0,"⚠ Çakışma","OK")))</f>
        <v/>
      </c>
      <c r="P262" s="32" t="str">
        <f aca="false">IF($A262="","",IF(OR($K262="",$H262="",$L262=""),"",IF(SUMPRODUCT(($A$7:$A$606&lt;&gt;"")*($K$7:$K$606=$K262)*($H$7:$H$606=$H262)*(ROW($A$7:$A$606)&lt;&gt;262)*($L$7:$L$606&lt;=$M262)*($M$7:$M$606&gt;=$L262))&gt;0,"⚠ Çakışma","OK")))</f>
        <v/>
      </c>
      <c r="Q262" s="32" t="str">
        <f aca="false">IF($A262="","",IF(OR($E262="",$H262="",$L262=""),"",IF(SUMPRODUCT(($A$7:$A$606&lt;&gt;"")*($E$7:$E$606=$E262)*($H$7:$H$606=$H262)*(ROW($A$7:$A$606)&lt;&gt;262)*($L$7:$L$606&lt;=$M262)*($M$7:$M$606&gt;=$L262))&gt;0,"⚠ Çakışma","OK")))</f>
        <v/>
      </c>
      <c r="R262" s="32" t="str">
        <f aca="false">IF($A262="","",IF(OR($N262&lt;&gt;"",$O262="⚠ Çakışma",$P262="⚠ Çakışma",$Q262="⚠ Çakışma"),"⚠ Kontrol Et","✓ Uygun"))</f>
        <v/>
      </c>
    </row>
    <row r="263" customFormat="false" ht="13.5" hidden="false" customHeight="true" outlineLevel="0" collapsed="false">
      <c r="A263" s="32" t="str">
        <f aca="false">IF('2-Gastronomi'!A60="","","Gastronomi ve Mutfak Sanatları")</f>
        <v/>
      </c>
      <c r="B263" s="32" t="str">
        <f aca="false">IF($A263="","",IF('2-Gastronomi'!A60="","",'2-Gastronomi'!A60))</f>
        <v/>
      </c>
      <c r="C263" s="33" t="str">
        <f aca="false">IF($A263="","",IF('2-Gastronomi'!B60="","",'2-Gastronomi'!B60))</f>
        <v/>
      </c>
      <c r="D263" s="32" t="str">
        <f aca="false">IF($A263="","",IF('2-Gastronomi'!C60="","",'2-Gastronomi'!C60))</f>
        <v/>
      </c>
      <c r="E263" s="32" t="str">
        <f aca="false">IF($A263="","",$A263&amp;"-"&amp;$D263)</f>
        <v/>
      </c>
      <c r="F263" s="32" t="str">
        <f aca="false">IF($A263="","",IF('2-Gastronomi'!D60="","",'2-Gastronomi'!D60))</f>
        <v/>
      </c>
      <c r="G263" s="32" t="str">
        <f aca="false">IF($A263="","",IF('2-Gastronomi'!E60="","",'2-Gastronomi'!E60))</f>
        <v/>
      </c>
      <c r="H263" s="32" t="str">
        <f aca="false">IF($A263="","",IF('2-Gastronomi'!F60="","",'2-Gastronomi'!F60))</f>
        <v/>
      </c>
      <c r="I263" s="32" t="str">
        <f aca="false">IF($A263="","",IF('2-Gastronomi'!G60="","",'2-Gastronomi'!G60))</f>
        <v/>
      </c>
      <c r="J263" s="32" t="str">
        <f aca="false">IF($A263="","",IF('2-Gastronomi'!H60="","",'2-Gastronomi'!H60))</f>
        <v/>
      </c>
      <c r="K263" s="32" t="str">
        <f aca="false">IF($A263="","",IF('2-Gastronomi'!I60="","",'2-Gastronomi'!I60))</f>
        <v/>
      </c>
      <c r="L263" s="32" t="str">
        <f aca="false">IF($I263="","",MATCH($I263,{"08.00";"09.00";"10.00";"11.00";"12.00";"13.00";"14.00";"15.00";"16.00";"17.00"},0))</f>
        <v/>
      </c>
      <c r="M263" s="32" t="str">
        <f aca="false">IF(OR($L263="",$J263=""),"",$L263+$J263-1)</f>
        <v/>
      </c>
      <c r="N263" s="32" t="str">
        <f aca="false">IF($A263="","",IF(OR($L263="",$M263=""),"",IF($M263&gt;10,"⚠ Saat Taşıyor","")))</f>
        <v/>
      </c>
      <c r="O263" s="32" t="str">
        <f aca="false">IF($A263="","",IF(OR($G263="",$H263="",$L263=""),"",IF(SUMPRODUCT(($A$7:$A$606&lt;&gt;"")*($G$7:$G$606=$G263)*($H$7:$H$606=$H263)*(ROW($A$7:$A$606)&lt;&gt;263)*($L$7:$L$606&lt;=$M263)*($M$7:$M$606&gt;=$L263))&gt;0,"⚠ Çakışma","OK")))</f>
        <v/>
      </c>
      <c r="P263" s="32" t="str">
        <f aca="false">IF($A263="","",IF(OR($K263="",$H263="",$L263=""),"",IF(SUMPRODUCT(($A$7:$A$606&lt;&gt;"")*($K$7:$K$606=$K263)*($H$7:$H$606=$H263)*(ROW($A$7:$A$606)&lt;&gt;263)*($L$7:$L$606&lt;=$M263)*($M$7:$M$606&gt;=$L263))&gt;0,"⚠ Çakışma","OK")))</f>
        <v/>
      </c>
      <c r="Q263" s="32" t="str">
        <f aca="false">IF($A263="","",IF(OR($E263="",$H263="",$L263=""),"",IF(SUMPRODUCT(($A$7:$A$606&lt;&gt;"")*($E$7:$E$606=$E263)*($H$7:$H$606=$H263)*(ROW($A$7:$A$606)&lt;&gt;263)*($L$7:$L$606&lt;=$M263)*($M$7:$M$606&gt;=$L263))&gt;0,"⚠ Çakışma","OK")))</f>
        <v/>
      </c>
      <c r="R263" s="32" t="str">
        <f aca="false">IF($A263="","",IF(OR($N263&lt;&gt;"",$O263="⚠ Çakışma",$P263="⚠ Çakışma",$Q263="⚠ Çakışma"),"⚠ Kontrol Et","✓ Uygun"))</f>
        <v/>
      </c>
    </row>
    <row r="264" customFormat="false" ht="13.5" hidden="false" customHeight="true" outlineLevel="0" collapsed="false">
      <c r="A264" s="32" t="str">
        <f aca="false">IF('2-Gastronomi'!A61="","","Gastronomi ve Mutfak Sanatları")</f>
        <v/>
      </c>
      <c r="B264" s="32" t="str">
        <f aca="false">IF($A264="","",IF('2-Gastronomi'!A61="","",'2-Gastronomi'!A61))</f>
        <v/>
      </c>
      <c r="C264" s="33" t="str">
        <f aca="false">IF($A264="","",IF('2-Gastronomi'!B61="","",'2-Gastronomi'!B61))</f>
        <v/>
      </c>
      <c r="D264" s="32" t="str">
        <f aca="false">IF($A264="","",IF('2-Gastronomi'!C61="","",'2-Gastronomi'!C61))</f>
        <v/>
      </c>
      <c r="E264" s="32" t="str">
        <f aca="false">IF($A264="","",$A264&amp;"-"&amp;$D264)</f>
        <v/>
      </c>
      <c r="F264" s="32" t="str">
        <f aca="false">IF($A264="","",IF('2-Gastronomi'!D61="","",'2-Gastronomi'!D61))</f>
        <v/>
      </c>
      <c r="G264" s="32" t="str">
        <f aca="false">IF($A264="","",IF('2-Gastronomi'!E61="","",'2-Gastronomi'!E61))</f>
        <v/>
      </c>
      <c r="H264" s="32" t="str">
        <f aca="false">IF($A264="","",IF('2-Gastronomi'!F61="","",'2-Gastronomi'!F61))</f>
        <v/>
      </c>
      <c r="I264" s="32" t="str">
        <f aca="false">IF($A264="","",IF('2-Gastronomi'!G61="","",'2-Gastronomi'!G61))</f>
        <v/>
      </c>
      <c r="J264" s="32" t="str">
        <f aca="false">IF($A264="","",IF('2-Gastronomi'!H61="","",'2-Gastronomi'!H61))</f>
        <v/>
      </c>
      <c r="K264" s="32" t="str">
        <f aca="false">IF($A264="","",IF('2-Gastronomi'!I61="","",'2-Gastronomi'!I61))</f>
        <v/>
      </c>
      <c r="L264" s="32" t="str">
        <f aca="false">IF($I264="","",MATCH($I264,{"08.00";"09.00";"10.00";"11.00";"12.00";"13.00";"14.00";"15.00";"16.00";"17.00"},0))</f>
        <v/>
      </c>
      <c r="M264" s="32" t="str">
        <f aca="false">IF(OR($L264="",$J264=""),"",$L264+$J264-1)</f>
        <v/>
      </c>
      <c r="N264" s="32" t="str">
        <f aca="false">IF($A264="","",IF(OR($L264="",$M264=""),"",IF($M264&gt;10,"⚠ Saat Taşıyor","")))</f>
        <v/>
      </c>
      <c r="O264" s="32" t="str">
        <f aca="false">IF($A264="","",IF(OR($G264="",$H264="",$L264=""),"",IF(SUMPRODUCT(($A$7:$A$606&lt;&gt;"")*($G$7:$G$606=$G264)*($H$7:$H$606=$H264)*(ROW($A$7:$A$606)&lt;&gt;264)*($L$7:$L$606&lt;=$M264)*($M$7:$M$606&gt;=$L264))&gt;0,"⚠ Çakışma","OK")))</f>
        <v/>
      </c>
      <c r="P264" s="32" t="str">
        <f aca="false">IF($A264="","",IF(OR($K264="",$H264="",$L264=""),"",IF(SUMPRODUCT(($A$7:$A$606&lt;&gt;"")*($K$7:$K$606=$K264)*($H$7:$H$606=$H264)*(ROW($A$7:$A$606)&lt;&gt;264)*($L$7:$L$606&lt;=$M264)*($M$7:$M$606&gt;=$L264))&gt;0,"⚠ Çakışma","OK")))</f>
        <v/>
      </c>
      <c r="Q264" s="32" t="str">
        <f aca="false">IF($A264="","",IF(OR($E264="",$H264="",$L264=""),"",IF(SUMPRODUCT(($A$7:$A$606&lt;&gt;"")*($E$7:$E$606=$E264)*($H$7:$H$606=$H264)*(ROW($A$7:$A$606)&lt;&gt;264)*($L$7:$L$606&lt;=$M264)*($M$7:$M$606&gt;=$L264))&gt;0,"⚠ Çakışma","OK")))</f>
        <v/>
      </c>
      <c r="R264" s="32" t="str">
        <f aca="false">IF($A264="","",IF(OR($N264&lt;&gt;"",$O264="⚠ Çakışma",$P264="⚠ Çakışma",$Q264="⚠ Çakışma"),"⚠ Kontrol Et","✓ Uygun"))</f>
        <v/>
      </c>
    </row>
    <row r="265" customFormat="false" ht="13.5" hidden="false" customHeight="true" outlineLevel="0" collapsed="false">
      <c r="A265" s="32" t="str">
        <f aca="false">IF('2-Gastronomi'!A62="","","Gastronomi ve Mutfak Sanatları")</f>
        <v/>
      </c>
      <c r="B265" s="32" t="str">
        <f aca="false">IF($A265="","",IF('2-Gastronomi'!A62="","",'2-Gastronomi'!A62))</f>
        <v/>
      </c>
      <c r="C265" s="33" t="str">
        <f aca="false">IF($A265="","",IF('2-Gastronomi'!B62="","",'2-Gastronomi'!B62))</f>
        <v/>
      </c>
      <c r="D265" s="32" t="str">
        <f aca="false">IF($A265="","",IF('2-Gastronomi'!C62="","",'2-Gastronomi'!C62))</f>
        <v/>
      </c>
      <c r="E265" s="32" t="str">
        <f aca="false">IF($A265="","",$A265&amp;"-"&amp;$D265)</f>
        <v/>
      </c>
      <c r="F265" s="32" t="str">
        <f aca="false">IF($A265="","",IF('2-Gastronomi'!D62="","",'2-Gastronomi'!D62))</f>
        <v/>
      </c>
      <c r="G265" s="32" t="str">
        <f aca="false">IF($A265="","",IF('2-Gastronomi'!E62="","",'2-Gastronomi'!E62))</f>
        <v/>
      </c>
      <c r="H265" s="32" t="str">
        <f aca="false">IF($A265="","",IF('2-Gastronomi'!F62="","",'2-Gastronomi'!F62))</f>
        <v/>
      </c>
      <c r="I265" s="32" t="str">
        <f aca="false">IF($A265="","",IF('2-Gastronomi'!G62="","",'2-Gastronomi'!G62))</f>
        <v/>
      </c>
      <c r="J265" s="32" t="str">
        <f aca="false">IF($A265="","",IF('2-Gastronomi'!H62="","",'2-Gastronomi'!H62))</f>
        <v/>
      </c>
      <c r="K265" s="32" t="str">
        <f aca="false">IF($A265="","",IF('2-Gastronomi'!I62="","",'2-Gastronomi'!I62))</f>
        <v/>
      </c>
      <c r="L265" s="32" t="str">
        <f aca="false">IF($I265="","",MATCH($I265,{"08.00";"09.00";"10.00";"11.00";"12.00";"13.00";"14.00";"15.00";"16.00";"17.00"},0))</f>
        <v/>
      </c>
      <c r="M265" s="32" t="str">
        <f aca="false">IF(OR($L265="",$J265=""),"",$L265+$J265-1)</f>
        <v/>
      </c>
      <c r="N265" s="32" t="str">
        <f aca="false">IF($A265="","",IF(OR($L265="",$M265=""),"",IF($M265&gt;10,"⚠ Saat Taşıyor","")))</f>
        <v/>
      </c>
      <c r="O265" s="32" t="str">
        <f aca="false">IF($A265="","",IF(OR($G265="",$H265="",$L265=""),"",IF(SUMPRODUCT(($A$7:$A$606&lt;&gt;"")*($G$7:$G$606=$G265)*($H$7:$H$606=$H265)*(ROW($A$7:$A$606)&lt;&gt;265)*($L$7:$L$606&lt;=$M265)*($M$7:$M$606&gt;=$L265))&gt;0,"⚠ Çakışma","OK")))</f>
        <v/>
      </c>
      <c r="P265" s="32" t="str">
        <f aca="false">IF($A265="","",IF(OR($K265="",$H265="",$L265=""),"",IF(SUMPRODUCT(($A$7:$A$606&lt;&gt;"")*($K$7:$K$606=$K265)*($H$7:$H$606=$H265)*(ROW($A$7:$A$606)&lt;&gt;265)*($L$7:$L$606&lt;=$M265)*($M$7:$M$606&gt;=$L265))&gt;0,"⚠ Çakışma","OK")))</f>
        <v/>
      </c>
      <c r="Q265" s="32" t="str">
        <f aca="false">IF($A265="","",IF(OR($E265="",$H265="",$L265=""),"",IF(SUMPRODUCT(($A$7:$A$606&lt;&gt;"")*($E$7:$E$606=$E265)*($H$7:$H$606=$H265)*(ROW($A$7:$A$606)&lt;&gt;265)*($L$7:$L$606&lt;=$M265)*($M$7:$M$606&gt;=$L265))&gt;0,"⚠ Çakışma","OK")))</f>
        <v/>
      </c>
      <c r="R265" s="32" t="str">
        <f aca="false">IF($A265="","",IF(OR($N265&lt;&gt;"",$O265="⚠ Çakışma",$P265="⚠ Çakışma",$Q265="⚠ Çakışma"),"⚠ Kontrol Et","✓ Uygun"))</f>
        <v/>
      </c>
    </row>
    <row r="266" customFormat="false" ht="13.5" hidden="false" customHeight="true" outlineLevel="0" collapsed="false">
      <c r="A266" s="32" t="str">
        <f aca="false">IF('2-Gastronomi'!A63="","","Gastronomi ve Mutfak Sanatları")</f>
        <v/>
      </c>
      <c r="B266" s="32" t="str">
        <f aca="false">IF($A266="","",IF('2-Gastronomi'!A63="","",'2-Gastronomi'!A63))</f>
        <v/>
      </c>
      <c r="C266" s="33" t="str">
        <f aca="false">IF($A266="","",IF('2-Gastronomi'!B63="","",'2-Gastronomi'!B63))</f>
        <v/>
      </c>
      <c r="D266" s="32" t="str">
        <f aca="false">IF($A266="","",IF('2-Gastronomi'!C63="","",'2-Gastronomi'!C63))</f>
        <v/>
      </c>
      <c r="E266" s="32" t="str">
        <f aca="false">IF($A266="","",$A266&amp;"-"&amp;$D266)</f>
        <v/>
      </c>
      <c r="F266" s="32" t="str">
        <f aca="false">IF($A266="","",IF('2-Gastronomi'!D63="","",'2-Gastronomi'!D63))</f>
        <v/>
      </c>
      <c r="G266" s="32" t="str">
        <f aca="false">IF($A266="","",IF('2-Gastronomi'!E63="","",'2-Gastronomi'!E63))</f>
        <v/>
      </c>
      <c r="H266" s="32" t="str">
        <f aca="false">IF($A266="","",IF('2-Gastronomi'!F63="","",'2-Gastronomi'!F63))</f>
        <v/>
      </c>
      <c r="I266" s="32" t="str">
        <f aca="false">IF($A266="","",IF('2-Gastronomi'!G63="","",'2-Gastronomi'!G63))</f>
        <v/>
      </c>
      <c r="J266" s="32" t="str">
        <f aca="false">IF($A266="","",IF('2-Gastronomi'!H63="","",'2-Gastronomi'!H63))</f>
        <v/>
      </c>
      <c r="K266" s="32" t="str">
        <f aca="false">IF($A266="","",IF('2-Gastronomi'!I63="","",'2-Gastronomi'!I63))</f>
        <v/>
      </c>
      <c r="L266" s="32" t="str">
        <f aca="false">IF($I266="","",MATCH($I266,{"08.00";"09.00";"10.00";"11.00";"12.00";"13.00";"14.00";"15.00";"16.00";"17.00"},0))</f>
        <v/>
      </c>
      <c r="M266" s="32" t="str">
        <f aca="false">IF(OR($L266="",$J266=""),"",$L266+$J266-1)</f>
        <v/>
      </c>
      <c r="N266" s="32" t="str">
        <f aca="false">IF($A266="","",IF(OR($L266="",$M266=""),"",IF($M266&gt;10,"⚠ Saat Taşıyor","")))</f>
        <v/>
      </c>
      <c r="O266" s="32" t="str">
        <f aca="false">IF($A266="","",IF(OR($G266="",$H266="",$L266=""),"",IF(SUMPRODUCT(($A$7:$A$606&lt;&gt;"")*($G$7:$G$606=$G266)*($H$7:$H$606=$H266)*(ROW($A$7:$A$606)&lt;&gt;266)*($L$7:$L$606&lt;=$M266)*($M$7:$M$606&gt;=$L266))&gt;0,"⚠ Çakışma","OK")))</f>
        <v/>
      </c>
      <c r="P266" s="32" t="str">
        <f aca="false">IF($A266="","",IF(OR($K266="",$H266="",$L266=""),"",IF(SUMPRODUCT(($A$7:$A$606&lt;&gt;"")*($K$7:$K$606=$K266)*($H$7:$H$606=$H266)*(ROW($A$7:$A$606)&lt;&gt;266)*($L$7:$L$606&lt;=$M266)*($M$7:$M$606&gt;=$L266))&gt;0,"⚠ Çakışma","OK")))</f>
        <v/>
      </c>
      <c r="Q266" s="32" t="str">
        <f aca="false">IF($A266="","",IF(OR($E266="",$H266="",$L266=""),"",IF(SUMPRODUCT(($A$7:$A$606&lt;&gt;"")*($E$7:$E$606=$E266)*($H$7:$H$606=$H266)*(ROW($A$7:$A$606)&lt;&gt;266)*($L$7:$L$606&lt;=$M266)*($M$7:$M$606&gt;=$L266))&gt;0,"⚠ Çakışma","OK")))</f>
        <v/>
      </c>
      <c r="R266" s="32" t="str">
        <f aca="false">IF($A266="","",IF(OR($N266&lt;&gt;"",$O266="⚠ Çakışma",$P266="⚠ Çakışma",$Q266="⚠ Çakışma"),"⚠ Kontrol Et","✓ Uygun"))</f>
        <v/>
      </c>
    </row>
    <row r="267" customFormat="false" ht="13.5" hidden="false" customHeight="true" outlineLevel="0" collapsed="false">
      <c r="A267" s="32" t="str">
        <f aca="false">IF('2-Gastronomi'!A64="","","Gastronomi ve Mutfak Sanatları")</f>
        <v/>
      </c>
      <c r="B267" s="32" t="str">
        <f aca="false">IF($A267="","",IF('2-Gastronomi'!A64="","",'2-Gastronomi'!A64))</f>
        <v/>
      </c>
      <c r="C267" s="33" t="str">
        <f aca="false">IF($A267="","",IF('2-Gastronomi'!B64="","",'2-Gastronomi'!B64))</f>
        <v/>
      </c>
      <c r="D267" s="32" t="str">
        <f aca="false">IF($A267="","",IF('2-Gastronomi'!C64="","",'2-Gastronomi'!C64))</f>
        <v/>
      </c>
      <c r="E267" s="32" t="str">
        <f aca="false">IF($A267="","",$A267&amp;"-"&amp;$D267)</f>
        <v/>
      </c>
      <c r="F267" s="32" t="str">
        <f aca="false">IF($A267="","",IF('2-Gastronomi'!D64="","",'2-Gastronomi'!D64))</f>
        <v/>
      </c>
      <c r="G267" s="32" t="str">
        <f aca="false">IF($A267="","",IF('2-Gastronomi'!E64="","",'2-Gastronomi'!E64))</f>
        <v/>
      </c>
      <c r="H267" s="32" t="str">
        <f aca="false">IF($A267="","",IF('2-Gastronomi'!F64="","",'2-Gastronomi'!F64))</f>
        <v/>
      </c>
      <c r="I267" s="32" t="str">
        <f aca="false">IF($A267="","",IF('2-Gastronomi'!G64="","",'2-Gastronomi'!G64))</f>
        <v/>
      </c>
      <c r="J267" s="32" t="str">
        <f aca="false">IF($A267="","",IF('2-Gastronomi'!H64="","",'2-Gastronomi'!H64))</f>
        <v/>
      </c>
      <c r="K267" s="32" t="str">
        <f aca="false">IF($A267="","",IF('2-Gastronomi'!I64="","",'2-Gastronomi'!I64))</f>
        <v/>
      </c>
      <c r="L267" s="32" t="str">
        <f aca="false">IF($I267="","",MATCH($I267,{"08.00";"09.00";"10.00";"11.00";"12.00";"13.00";"14.00";"15.00";"16.00";"17.00"},0))</f>
        <v/>
      </c>
      <c r="M267" s="32" t="str">
        <f aca="false">IF(OR($L267="",$J267=""),"",$L267+$J267-1)</f>
        <v/>
      </c>
      <c r="N267" s="32" t="str">
        <f aca="false">IF($A267="","",IF(OR($L267="",$M267=""),"",IF($M267&gt;10,"⚠ Saat Taşıyor","")))</f>
        <v/>
      </c>
      <c r="O267" s="32" t="str">
        <f aca="false">IF($A267="","",IF(OR($G267="",$H267="",$L267=""),"",IF(SUMPRODUCT(($A$7:$A$606&lt;&gt;"")*($G$7:$G$606=$G267)*($H$7:$H$606=$H267)*(ROW($A$7:$A$606)&lt;&gt;267)*($L$7:$L$606&lt;=$M267)*($M$7:$M$606&gt;=$L267))&gt;0,"⚠ Çakışma","OK")))</f>
        <v/>
      </c>
      <c r="P267" s="32" t="str">
        <f aca="false">IF($A267="","",IF(OR($K267="",$H267="",$L267=""),"",IF(SUMPRODUCT(($A$7:$A$606&lt;&gt;"")*($K$7:$K$606=$K267)*($H$7:$H$606=$H267)*(ROW($A$7:$A$606)&lt;&gt;267)*($L$7:$L$606&lt;=$M267)*($M$7:$M$606&gt;=$L267))&gt;0,"⚠ Çakışma","OK")))</f>
        <v/>
      </c>
      <c r="Q267" s="32" t="str">
        <f aca="false">IF($A267="","",IF(OR($E267="",$H267="",$L267=""),"",IF(SUMPRODUCT(($A$7:$A$606&lt;&gt;"")*($E$7:$E$606=$E267)*($H$7:$H$606=$H267)*(ROW($A$7:$A$606)&lt;&gt;267)*($L$7:$L$606&lt;=$M267)*($M$7:$M$606&gt;=$L267))&gt;0,"⚠ Çakışma","OK")))</f>
        <v/>
      </c>
      <c r="R267" s="32" t="str">
        <f aca="false">IF($A267="","",IF(OR($N267&lt;&gt;"",$O267="⚠ Çakışma",$P267="⚠ Çakışma",$Q267="⚠ Çakışma"),"⚠ Kontrol Et","✓ Uygun"))</f>
        <v/>
      </c>
    </row>
    <row r="268" customFormat="false" ht="13.5" hidden="false" customHeight="true" outlineLevel="0" collapsed="false">
      <c r="A268" s="32" t="str">
        <f aca="false">IF('2-Gastronomi'!A65="","","Gastronomi ve Mutfak Sanatları")</f>
        <v/>
      </c>
      <c r="B268" s="32" t="str">
        <f aca="false">IF($A268="","",IF('2-Gastronomi'!A65="","",'2-Gastronomi'!A65))</f>
        <v/>
      </c>
      <c r="C268" s="33" t="str">
        <f aca="false">IF($A268="","",IF('2-Gastronomi'!B65="","",'2-Gastronomi'!B65))</f>
        <v/>
      </c>
      <c r="D268" s="32" t="str">
        <f aca="false">IF($A268="","",IF('2-Gastronomi'!C65="","",'2-Gastronomi'!C65))</f>
        <v/>
      </c>
      <c r="E268" s="32" t="str">
        <f aca="false">IF($A268="","",$A268&amp;"-"&amp;$D268)</f>
        <v/>
      </c>
      <c r="F268" s="32" t="str">
        <f aca="false">IF($A268="","",IF('2-Gastronomi'!D65="","",'2-Gastronomi'!D65))</f>
        <v/>
      </c>
      <c r="G268" s="32" t="str">
        <f aca="false">IF($A268="","",IF('2-Gastronomi'!E65="","",'2-Gastronomi'!E65))</f>
        <v/>
      </c>
      <c r="H268" s="32" t="str">
        <f aca="false">IF($A268="","",IF('2-Gastronomi'!F65="","",'2-Gastronomi'!F65))</f>
        <v/>
      </c>
      <c r="I268" s="32" t="str">
        <f aca="false">IF($A268="","",IF('2-Gastronomi'!G65="","",'2-Gastronomi'!G65))</f>
        <v/>
      </c>
      <c r="J268" s="32" t="str">
        <f aca="false">IF($A268="","",IF('2-Gastronomi'!H65="","",'2-Gastronomi'!H65))</f>
        <v/>
      </c>
      <c r="K268" s="32" t="str">
        <f aca="false">IF($A268="","",IF('2-Gastronomi'!I65="","",'2-Gastronomi'!I65))</f>
        <v/>
      </c>
      <c r="L268" s="32" t="str">
        <f aca="false">IF($I268="","",MATCH($I268,{"08.00";"09.00";"10.00";"11.00";"12.00";"13.00";"14.00";"15.00";"16.00";"17.00"},0))</f>
        <v/>
      </c>
      <c r="M268" s="32" t="str">
        <f aca="false">IF(OR($L268="",$J268=""),"",$L268+$J268-1)</f>
        <v/>
      </c>
      <c r="N268" s="32" t="str">
        <f aca="false">IF($A268="","",IF(OR($L268="",$M268=""),"",IF($M268&gt;10,"⚠ Saat Taşıyor","")))</f>
        <v/>
      </c>
      <c r="O268" s="32" t="str">
        <f aca="false">IF($A268="","",IF(OR($G268="",$H268="",$L268=""),"",IF(SUMPRODUCT(($A$7:$A$606&lt;&gt;"")*($G$7:$G$606=$G268)*($H$7:$H$606=$H268)*(ROW($A$7:$A$606)&lt;&gt;268)*($L$7:$L$606&lt;=$M268)*($M$7:$M$606&gt;=$L268))&gt;0,"⚠ Çakışma","OK")))</f>
        <v/>
      </c>
      <c r="P268" s="32" t="str">
        <f aca="false">IF($A268="","",IF(OR($K268="",$H268="",$L268=""),"",IF(SUMPRODUCT(($A$7:$A$606&lt;&gt;"")*($K$7:$K$606=$K268)*($H$7:$H$606=$H268)*(ROW($A$7:$A$606)&lt;&gt;268)*($L$7:$L$606&lt;=$M268)*($M$7:$M$606&gt;=$L268))&gt;0,"⚠ Çakışma","OK")))</f>
        <v/>
      </c>
      <c r="Q268" s="32" t="str">
        <f aca="false">IF($A268="","",IF(OR($E268="",$H268="",$L268=""),"",IF(SUMPRODUCT(($A$7:$A$606&lt;&gt;"")*($E$7:$E$606=$E268)*($H$7:$H$606=$H268)*(ROW($A$7:$A$606)&lt;&gt;268)*($L$7:$L$606&lt;=$M268)*($M$7:$M$606&gt;=$L268))&gt;0,"⚠ Çakışma","OK")))</f>
        <v/>
      </c>
      <c r="R268" s="32" t="str">
        <f aca="false">IF($A268="","",IF(OR($N268&lt;&gt;"",$O268="⚠ Çakışma",$P268="⚠ Çakışma",$Q268="⚠ Çakışma"),"⚠ Kontrol Et","✓ Uygun"))</f>
        <v/>
      </c>
    </row>
    <row r="269" customFormat="false" ht="13.5" hidden="false" customHeight="true" outlineLevel="0" collapsed="false">
      <c r="A269" s="32" t="str">
        <f aca="false">IF('2-Gastronomi'!A66="","","Gastronomi ve Mutfak Sanatları")</f>
        <v/>
      </c>
      <c r="B269" s="32" t="str">
        <f aca="false">IF($A269="","",IF('2-Gastronomi'!A66="","",'2-Gastronomi'!A66))</f>
        <v/>
      </c>
      <c r="C269" s="33" t="str">
        <f aca="false">IF($A269="","",IF('2-Gastronomi'!B66="","",'2-Gastronomi'!B66))</f>
        <v/>
      </c>
      <c r="D269" s="32" t="str">
        <f aca="false">IF($A269="","",IF('2-Gastronomi'!C66="","",'2-Gastronomi'!C66))</f>
        <v/>
      </c>
      <c r="E269" s="32" t="str">
        <f aca="false">IF($A269="","",$A269&amp;"-"&amp;$D269)</f>
        <v/>
      </c>
      <c r="F269" s="32" t="str">
        <f aca="false">IF($A269="","",IF('2-Gastronomi'!D66="","",'2-Gastronomi'!D66))</f>
        <v/>
      </c>
      <c r="G269" s="32" t="str">
        <f aca="false">IF($A269="","",IF('2-Gastronomi'!E66="","",'2-Gastronomi'!E66))</f>
        <v/>
      </c>
      <c r="H269" s="32" t="str">
        <f aca="false">IF($A269="","",IF('2-Gastronomi'!F66="","",'2-Gastronomi'!F66))</f>
        <v/>
      </c>
      <c r="I269" s="32" t="str">
        <f aca="false">IF($A269="","",IF('2-Gastronomi'!G66="","",'2-Gastronomi'!G66))</f>
        <v/>
      </c>
      <c r="J269" s="32" t="str">
        <f aca="false">IF($A269="","",IF('2-Gastronomi'!H66="","",'2-Gastronomi'!H66))</f>
        <v/>
      </c>
      <c r="K269" s="32" t="str">
        <f aca="false">IF($A269="","",IF('2-Gastronomi'!I66="","",'2-Gastronomi'!I66))</f>
        <v/>
      </c>
      <c r="L269" s="32" t="str">
        <f aca="false">IF($I269="","",MATCH($I269,{"08.00";"09.00";"10.00";"11.00";"12.00";"13.00";"14.00";"15.00";"16.00";"17.00"},0))</f>
        <v/>
      </c>
      <c r="M269" s="32" t="str">
        <f aca="false">IF(OR($L269="",$J269=""),"",$L269+$J269-1)</f>
        <v/>
      </c>
      <c r="N269" s="32" t="str">
        <f aca="false">IF($A269="","",IF(OR($L269="",$M269=""),"",IF($M269&gt;10,"⚠ Saat Taşıyor","")))</f>
        <v/>
      </c>
      <c r="O269" s="32" t="str">
        <f aca="false">IF($A269="","",IF(OR($G269="",$H269="",$L269=""),"",IF(SUMPRODUCT(($A$7:$A$606&lt;&gt;"")*($G$7:$G$606=$G269)*($H$7:$H$606=$H269)*(ROW($A$7:$A$606)&lt;&gt;269)*($L$7:$L$606&lt;=$M269)*($M$7:$M$606&gt;=$L269))&gt;0,"⚠ Çakışma","OK")))</f>
        <v/>
      </c>
      <c r="P269" s="32" t="str">
        <f aca="false">IF($A269="","",IF(OR($K269="",$H269="",$L269=""),"",IF(SUMPRODUCT(($A$7:$A$606&lt;&gt;"")*($K$7:$K$606=$K269)*($H$7:$H$606=$H269)*(ROW($A$7:$A$606)&lt;&gt;269)*($L$7:$L$606&lt;=$M269)*($M$7:$M$606&gt;=$L269))&gt;0,"⚠ Çakışma","OK")))</f>
        <v/>
      </c>
      <c r="Q269" s="32" t="str">
        <f aca="false">IF($A269="","",IF(OR($E269="",$H269="",$L269=""),"",IF(SUMPRODUCT(($A$7:$A$606&lt;&gt;"")*($E$7:$E$606=$E269)*($H$7:$H$606=$H269)*(ROW($A$7:$A$606)&lt;&gt;269)*($L$7:$L$606&lt;=$M269)*($M$7:$M$606&gt;=$L269))&gt;0,"⚠ Çakışma","OK")))</f>
        <v/>
      </c>
      <c r="R269" s="32" t="str">
        <f aca="false">IF($A269="","",IF(OR($N269&lt;&gt;"",$O269="⚠ Çakışma",$P269="⚠ Çakışma",$Q269="⚠ Çakışma"),"⚠ Kontrol Et","✓ Uygun"))</f>
        <v/>
      </c>
    </row>
    <row r="270" customFormat="false" ht="13.5" hidden="false" customHeight="true" outlineLevel="0" collapsed="false">
      <c r="A270" s="32" t="str">
        <f aca="false">IF('2-Gastronomi'!A67="","","Gastronomi ve Mutfak Sanatları")</f>
        <v/>
      </c>
      <c r="B270" s="32" t="str">
        <f aca="false">IF($A270="","",IF('2-Gastronomi'!A67="","",'2-Gastronomi'!A67))</f>
        <v/>
      </c>
      <c r="C270" s="33" t="str">
        <f aca="false">IF($A270="","",IF('2-Gastronomi'!B67="","",'2-Gastronomi'!B67))</f>
        <v/>
      </c>
      <c r="D270" s="32" t="str">
        <f aca="false">IF($A270="","",IF('2-Gastronomi'!C67="","",'2-Gastronomi'!C67))</f>
        <v/>
      </c>
      <c r="E270" s="32" t="str">
        <f aca="false">IF($A270="","",$A270&amp;"-"&amp;$D270)</f>
        <v/>
      </c>
      <c r="F270" s="32" t="str">
        <f aca="false">IF($A270="","",IF('2-Gastronomi'!D67="","",'2-Gastronomi'!D67))</f>
        <v/>
      </c>
      <c r="G270" s="32" t="str">
        <f aca="false">IF($A270="","",IF('2-Gastronomi'!E67="","",'2-Gastronomi'!E67))</f>
        <v/>
      </c>
      <c r="H270" s="32" t="str">
        <f aca="false">IF($A270="","",IF('2-Gastronomi'!F67="","",'2-Gastronomi'!F67))</f>
        <v/>
      </c>
      <c r="I270" s="32" t="str">
        <f aca="false">IF($A270="","",IF('2-Gastronomi'!G67="","",'2-Gastronomi'!G67))</f>
        <v/>
      </c>
      <c r="J270" s="32" t="str">
        <f aca="false">IF($A270="","",IF('2-Gastronomi'!H67="","",'2-Gastronomi'!H67))</f>
        <v/>
      </c>
      <c r="K270" s="32" t="str">
        <f aca="false">IF($A270="","",IF('2-Gastronomi'!I67="","",'2-Gastronomi'!I67))</f>
        <v/>
      </c>
      <c r="L270" s="32" t="str">
        <f aca="false">IF($I270="","",MATCH($I270,{"08.00";"09.00";"10.00";"11.00";"12.00";"13.00";"14.00";"15.00";"16.00";"17.00"},0))</f>
        <v/>
      </c>
      <c r="M270" s="32" t="str">
        <f aca="false">IF(OR($L270="",$J270=""),"",$L270+$J270-1)</f>
        <v/>
      </c>
      <c r="N270" s="32" t="str">
        <f aca="false">IF($A270="","",IF(OR($L270="",$M270=""),"",IF($M270&gt;10,"⚠ Saat Taşıyor","")))</f>
        <v/>
      </c>
      <c r="O270" s="32" t="str">
        <f aca="false">IF($A270="","",IF(OR($G270="",$H270="",$L270=""),"",IF(SUMPRODUCT(($A$7:$A$606&lt;&gt;"")*($G$7:$G$606=$G270)*($H$7:$H$606=$H270)*(ROW($A$7:$A$606)&lt;&gt;270)*($L$7:$L$606&lt;=$M270)*($M$7:$M$606&gt;=$L270))&gt;0,"⚠ Çakışma","OK")))</f>
        <v/>
      </c>
      <c r="P270" s="32" t="str">
        <f aca="false">IF($A270="","",IF(OR($K270="",$H270="",$L270=""),"",IF(SUMPRODUCT(($A$7:$A$606&lt;&gt;"")*($K$7:$K$606=$K270)*($H$7:$H$606=$H270)*(ROW($A$7:$A$606)&lt;&gt;270)*($L$7:$L$606&lt;=$M270)*($M$7:$M$606&gt;=$L270))&gt;0,"⚠ Çakışma","OK")))</f>
        <v/>
      </c>
      <c r="Q270" s="32" t="str">
        <f aca="false">IF($A270="","",IF(OR($E270="",$H270="",$L270=""),"",IF(SUMPRODUCT(($A$7:$A$606&lt;&gt;"")*($E$7:$E$606=$E270)*($H$7:$H$606=$H270)*(ROW($A$7:$A$606)&lt;&gt;270)*($L$7:$L$606&lt;=$M270)*($M$7:$M$606&gt;=$L270))&gt;0,"⚠ Çakışma","OK")))</f>
        <v/>
      </c>
      <c r="R270" s="32" t="str">
        <f aca="false">IF($A270="","",IF(OR($N270&lt;&gt;"",$O270="⚠ Çakışma",$P270="⚠ Çakışma",$Q270="⚠ Çakışma"),"⚠ Kontrol Et","✓ Uygun"))</f>
        <v/>
      </c>
    </row>
    <row r="271" customFormat="false" ht="13.5" hidden="false" customHeight="true" outlineLevel="0" collapsed="false">
      <c r="A271" s="32" t="str">
        <f aca="false">IF('2-Gastronomi'!A68="","","Gastronomi ve Mutfak Sanatları")</f>
        <v/>
      </c>
      <c r="B271" s="32" t="str">
        <f aca="false">IF($A271="","",IF('2-Gastronomi'!A68="","",'2-Gastronomi'!A68))</f>
        <v/>
      </c>
      <c r="C271" s="33" t="str">
        <f aca="false">IF($A271="","",IF('2-Gastronomi'!B68="","",'2-Gastronomi'!B68))</f>
        <v/>
      </c>
      <c r="D271" s="32" t="str">
        <f aca="false">IF($A271="","",IF('2-Gastronomi'!C68="","",'2-Gastronomi'!C68))</f>
        <v/>
      </c>
      <c r="E271" s="32" t="str">
        <f aca="false">IF($A271="","",$A271&amp;"-"&amp;$D271)</f>
        <v/>
      </c>
      <c r="F271" s="32" t="str">
        <f aca="false">IF($A271="","",IF('2-Gastronomi'!D68="","",'2-Gastronomi'!D68))</f>
        <v/>
      </c>
      <c r="G271" s="32" t="str">
        <f aca="false">IF($A271="","",IF('2-Gastronomi'!E68="","",'2-Gastronomi'!E68))</f>
        <v/>
      </c>
      <c r="H271" s="32" t="str">
        <f aca="false">IF($A271="","",IF('2-Gastronomi'!F68="","",'2-Gastronomi'!F68))</f>
        <v/>
      </c>
      <c r="I271" s="32" t="str">
        <f aca="false">IF($A271="","",IF('2-Gastronomi'!G68="","",'2-Gastronomi'!G68))</f>
        <v/>
      </c>
      <c r="J271" s="32" t="str">
        <f aca="false">IF($A271="","",IF('2-Gastronomi'!H68="","",'2-Gastronomi'!H68))</f>
        <v/>
      </c>
      <c r="K271" s="32" t="str">
        <f aca="false">IF($A271="","",IF('2-Gastronomi'!I68="","",'2-Gastronomi'!I68))</f>
        <v/>
      </c>
      <c r="L271" s="32" t="str">
        <f aca="false">IF($I271="","",MATCH($I271,{"08.00";"09.00";"10.00";"11.00";"12.00";"13.00";"14.00";"15.00";"16.00";"17.00"},0))</f>
        <v/>
      </c>
      <c r="M271" s="32" t="str">
        <f aca="false">IF(OR($L271="",$J271=""),"",$L271+$J271-1)</f>
        <v/>
      </c>
      <c r="N271" s="32" t="str">
        <f aca="false">IF($A271="","",IF(OR($L271="",$M271=""),"",IF($M271&gt;10,"⚠ Saat Taşıyor","")))</f>
        <v/>
      </c>
      <c r="O271" s="32" t="str">
        <f aca="false">IF($A271="","",IF(OR($G271="",$H271="",$L271=""),"",IF(SUMPRODUCT(($A$7:$A$606&lt;&gt;"")*($G$7:$G$606=$G271)*($H$7:$H$606=$H271)*(ROW($A$7:$A$606)&lt;&gt;271)*($L$7:$L$606&lt;=$M271)*($M$7:$M$606&gt;=$L271))&gt;0,"⚠ Çakışma","OK")))</f>
        <v/>
      </c>
      <c r="P271" s="32" t="str">
        <f aca="false">IF($A271="","",IF(OR($K271="",$H271="",$L271=""),"",IF(SUMPRODUCT(($A$7:$A$606&lt;&gt;"")*($K$7:$K$606=$K271)*($H$7:$H$606=$H271)*(ROW($A$7:$A$606)&lt;&gt;271)*($L$7:$L$606&lt;=$M271)*($M$7:$M$606&gt;=$L271))&gt;0,"⚠ Çakışma","OK")))</f>
        <v/>
      </c>
      <c r="Q271" s="32" t="str">
        <f aca="false">IF($A271="","",IF(OR($E271="",$H271="",$L271=""),"",IF(SUMPRODUCT(($A$7:$A$606&lt;&gt;"")*($E$7:$E$606=$E271)*($H$7:$H$606=$H271)*(ROW($A$7:$A$606)&lt;&gt;271)*($L$7:$L$606&lt;=$M271)*($M$7:$M$606&gt;=$L271))&gt;0,"⚠ Çakışma","OK")))</f>
        <v/>
      </c>
      <c r="R271" s="32" t="str">
        <f aca="false">IF($A271="","",IF(OR($N271&lt;&gt;"",$O271="⚠ Çakışma",$P271="⚠ Çakışma",$Q271="⚠ Çakışma"),"⚠ Kontrol Et","✓ Uygun"))</f>
        <v/>
      </c>
    </row>
    <row r="272" customFormat="false" ht="13.5" hidden="false" customHeight="true" outlineLevel="0" collapsed="false">
      <c r="A272" s="32" t="str">
        <f aca="false">IF('2-Gastronomi'!A69="","","Gastronomi ve Mutfak Sanatları")</f>
        <v/>
      </c>
      <c r="B272" s="32" t="str">
        <f aca="false">IF($A272="","",IF('2-Gastronomi'!A69="","",'2-Gastronomi'!A69))</f>
        <v/>
      </c>
      <c r="C272" s="33" t="str">
        <f aca="false">IF($A272="","",IF('2-Gastronomi'!B69="","",'2-Gastronomi'!B69))</f>
        <v/>
      </c>
      <c r="D272" s="32" t="str">
        <f aca="false">IF($A272="","",IF('2-Gastronomi'!C69="","",'2-Gastronomi'!C69))</f>
        <v/>
      </c>
      <c r="E272" s="32" t="str">
        <f aca="false">IF($A272="","",$A272&amp;"-"&amp;$D272)</f>
        <v/>
      </c>
      <c r="F272" s="32" t="str">
        <f aca="false">IF($A272="","",IF('2-Gastronomi'!D69="","",'2-Gastronomi'!D69))</f>
        <v/>
      </c>
      <c r="G272" s="32" t="str">
        <f aca="false">IF($A272="","",IF('2-Gastronomi'!E69="","",'2-Gastronomi'!E69))</f>
        <v/>
      </c>
      <c r="H272" s="32" t="str">
        <f aca="false">IF($A272="","",IF('2-Gastronomi'!F69="","",'2-Gastronomi'!F69))</f>
        <v/>
      </c>
      <c r="I272" s="32" t="str">
        <f aca="false">IF($A272="","",IF('2-Gastronomi'!G69="","",'2-Gastronomi'!G69))</f>
        <v/>
      </c>
      <c r="J272" s="32" t="str">
        <f aca="false">IF($A272="","",IF('2-Gastronomi'!H69="","",'2-Gastronomi'!H69))</f>
        <v/>
      </c>
      <c r="K272" s="32" t="str">
        <f aca="false">IF($A272="","",IF('2-Gastronomi'!I69="","",'2-Gastronomi'!I69))</f>
        <v/>
      </c>
      <c r="L272" s="32" t="str">
        <f aca="false">IF($I272="","",MATCH($I272,{"08.00";"09.00";"10.00";"11.00";"12.00";"13.00";"14.00";"15.00";"16.00";"17.00"},0))</f>
        <v/>
      </c>
      <c r="M272" s="32" t="str">
        <f aca="false">IF(OR($L272="",$J272=""),"",$L272+$J272-1)</f>
        <v/>
      </c>
      <c r="N272" s="32" t="str">
        <f aca="false">IF($A272="","",IF(OR($L272="",$M272=""),"",IF($M272&gt;10,"⚠ Saat Taşıyor","")))</f>
        <v/>
      </c>
      <c r="O272" s="32" t="str">
        <f aca="false">IF($A272="","",IF(OR($G272="",$H272="",$L272=""),"",IF(SUMPRODUCT(($A$7:$A$606&lt;&gt;"")*($G$7:$G$606=$G272)*($H$7:$H$606=$H272)*(ROW($A$7:$A$606)&lt;&gt;272)*($L$7:$L$606&lt;=$M272)*($M$7:$M$606&gt;=$L272))&gt;0,"⚠ Çakışma","OK")))</f>
        <v/>
      </c>
      <c r="P272" s="32" t="str">
        <f aca="false">IF($A272="","",IF(OR($K272="",$H272="",$L272=""),"",IF(SUMPRODUCT(($A$7:$A$606&lt;&gt;"")*($K$7:$K$606=$K272)*($H$7:$H$606=$H272)*(ROW($A$7:$A$606)&lt;&gt;272)*($L$7:$L$606&lt;=$M272)*($M$7:$M$606&gt;=$L272))&gt;0,"⚠ Çakışma","OK")))</f>
        <v/>
      </c>
      <c r="Q272" s="32" t="str">
        <f aca="false">IF($A272="","",IF(OR($E272="",$H272="",$L272=""),"",IF(SUMPRODUCT(($A$7:$A$606&lt;&gt;"")*($E$7:$E$606=$E272)*($H$7:$H$606=$H272)*(ROW($A$7:$A$606)&lt;&gt;272)*($L$7:$L$606&lt;=$M272)*($M$7:$M$606&gt;=$L272))&gt;0,"⚠ Çakışma","OK")))</f>
        <v/>
      </c>
      <c r="R272" s="32" t="str">
        <f aca="false">IF($A272="","",IF(OR($N272&lt;&gt;"",$O272="⚠ Çakışma",$P272="⚠ Çakışma",$Q272="⚠ Çakışma"),"⚠ Kontrol Et","✓ Uygun"))</f>
        <v/>
      </c>
    </row>
    <row r="273" customFormat="false" ht="13.5" hidden="false" customHeight="true" outlineLevel="0" collapsed="false">
      <c r="A273" s="32" t="str">
        <f aca="false">IF('2-Gastronomi'!A70="","","Gastronomi ve Mutfak Sanatları")</f>
        <v/>
      </c>
      <c r="B273" s="32" t="str">
        <f aca="false">IF($A273="","",IF('2-Gastronomi'!A70="","",'2-Gastronomi'!A70))</f>
        <v/>
      </c>
      <c r="C273" s="33" t="str">
        <f aca="false">IF($A273="","",IF('2-Gastronomi'!B70="","",'2-Gastronomi'!B70))</f>
        <v/>
      </c>
      <c r="D273" s="32" t="str">
        <f aca="false">IF($A273="","",IF('2-Gastronomi'!C70="","",'2-Gastronomi'!C70))</f>
        <v/>
      </c>
      <c r="E273" s="32" t="str">
        <f aca="false">IF($A273="","",$A273&amp;"-"&amp;$D273)</f>
        <v/>
      </c>
      <c r="F273" s="32" t="str">
        <f aca="false">IF($A273="","",IF('2-Gastronomi'!D70="","",'2-Gastronomi'!D70))</f>
        <v/>
      </c>
      <c r="G273" s="32" t="str">
        <f aca="false">IF($A273="","",IF('2-Gastronomi'!E70="","",'2-Gastronomi'!E70))</f>
        <v/>
      </c>
      <c r="H273" s="32" t="str">
        <f aca="false">IF($A273="","",IF('2-Gastronomi'!F70="","",'2-Gastronomi'!F70))</f>
        <v/>
      </c>
      <c r="I273" s="32" t="str">
        <f aca="false">IF($A273="","",IF('2-Gastronomi'!G70="","",'2-Gastronomi'!G70))</f>
        <v/>
      </c>
      <c r="J273" s="32" t="str">
        <f aca="false">IF($A273="","",IF('2-Gastronomi'!H70="","",'2-Gastronomi'!H70))</f>
        <v/>
      </c>
      <c r="K273" s="32" t="str">
        <f aca="false">IF($A273="","",IF('2-Gastronomi'!I70="","",'2-Gastronomi'!I70))</f>
        <v/>
      </c>
      <c r="L273" s="32" t="str">
        <f aca="false">IF($I273="","",MATCH($I273,{"08.00";"09.00";"10.00";"11.00";"12.00";"13.00";"14.00";"15.00";"16.00";"17.00"},0))</f>
        <v/>
      </c>
      <c r="M273" s="32" t="str">
        <f aca="false">IF(OR($L273="",$J273=""),"",$L273+$J273-1)</f>
        <v/>
      </c>
      <c r="N273" s="32" t="str">
        <f aca="false">IF($A273="","",IF(OR($L273="",$M273=""),"",IF($M273&gt;10,"⚠ Saat Taşıyor","")))</f>
        <v/>
      </c>
      <c r="O273" s="32" t="str">
        <f aca="false">IF($A273="","",IF(OR($G273="",$H273="",$L273=""),"",IF(SUMPRODUCT(($A$7:$A$606&lt;&gt;"")*($G$7:$G$606=$G273)*($H$7:$H$606=$H273)*(ROW($A$7:$A$606)&lt;&gt;273)*($L$7:$L$606&lt;=$M273)*($M$7:$M$606&gt;=$L273))&gt;0,"⚠ Çakışma","OK")))</f>
        <v/>
      </c>
      <c r="P273" s="32" t="str">
        <f aca="false">IF($A273="","",IF(OR($K273="",$H273="",$L273=""),"",IF(SUMPRODUCT(($A$7:$A$606&lt;&gt;"")*($K$7:$K$606=$K273)*($H$7:$H$606=$H273)*(ROW($A$7:$A$606)&lt;&gt;273)*($L$7:$L$606&lt;=$M273)*($M$7:$M$606&gt;=$L273))&gt;0,"⚠ Çakışma","OK")))</f>
        <v/>
      </c>
      <c r="Q273" s="32" t="str">
        <f aca="false">IF($A273="","",IF(OR($E273="",$H273="",$L273=""),"",IF(SUMPRODUCT(($A$7:$A$606&lt;&gt;"")*($E$7:$E$606=$E273)*($H$7:$H$606=$H273)*(ROW($A$7:$A$606)&lt;&gt;273)*($L$7:$L$606&lt;=$M273)*($M$7:$M$606&gt;=$L273))&gt;0,"⚠ Çakışma","OK")))</f>
        <v/>
      </c>
      <c r="R273" s="32" t="str">
        <f aca="false">IF($A273="","",IF(OR($N273&lt;&gt;"",$O273="⚠ Çakışma",$P273="⚠ Çakışma",$Q273="⚠ Çakışma"),"⚠ Kontrol Et","✓ Uygun"))</f>
        <v/>
      </c>
    </row>
    <row r="274" customFormat="false" ht="13.5" hidden="false" customHeight="true" outlineLevel="0" collapsed="false">
      <c r="A274" s="32" t="str">
        <f aca="false">IF('2-Gastronomi'!A71="","","Gastronomi ve Mutfak Sanatları")</f>
        <v/>
      </c>
      <c r="B274" s="32" t="str">
        <f aca="false">IF($A274="","",IF('2-Gastronomi'!A71="","",'2-Gastronomi'!A71))</f>
        <v/>
      </c>
      <c r="C274" s="33" t="str">
        <f aca="false">IF($A274="","",IF('2-Gastronomi'!B71="","",'2-Gastronomi'!B71))</f>
        <v/>
      </c>
      <c r="D274" s="32" t="str">
        <f aca="false">IF($A274="","",IF('2-Gastronomi'!C71="","",'2-Gastronomi'!C71))</f>
        <v/>
      </c>
      <c r="E274" s="32" t="str">
        <f aca="false">IF($A274="","",$A274&amp;"-"&amp;$D274)</f>
        <v/>
      </c>
      <c r="F274" s="32" t="str">
        <f aca="false">IF($A274="","",IF('2-Gastronomi'!D71="","",'2-Gastronomi'!D71))</f>
        <v/>
      </c>
      <c r="G274" s="32" t="str">
        <f aca="false">IF($A274="","",IF('2-Gastronomi'!E71="","",'2-Gastronomi'!E71))</f>
        <v/>
      </c>
      <c r="H274" s="32" t="str">
        <f aca="false">IF($A274="","",IF('2-Gastronomi'!F71="","",'2-Gastronomi'!F71))</f>
        <v/>
      </c>
      <c r="I274" s="32" t="str">
        <f aca="false">IF($A274="","",IF('2-Gastronomi'!G71="","",'2-Gastronomi'!G71))</f>
        <v/>
      </c>
      <c r="J274" s="32" t="str">
        <f aca="false">IF($A274="","",IF('2-Gastronomi'!H71="","",'2-Gastronomi'!H71))</f>
        <v/>
      </c>
      <c r="K274" s="32" t="str">
        <f aca="false">IF($A274="","",IF('2-Gastronomi'!I71="","",'2-Gastronomi'!I71))</f>
        <v/>
      </c>
      <c r="L274" s="32" t="str">
        <f aca="false">IF($I274="","",MATCH($I274,{"08.00";"09.00";"10.00";"11.00";"12.00";"13.00";"14.00";"15.00";"16.00";"17.00"},0))</f>
        <v/>
      </c>
      <c r="M274" s="32" t="str">
        <f aca="false">IF(OR($L274="",$J274=""),"",$L274+$J274-1)</f>
        <v/>
      </c>
      <c r="N274" s="32" t="str">
        <f aca="false">IF($A274="","",IF(OR($L274="",$M274=""),"",IF($M274&gt;10,"⚠ Saat Taşıyor","")))</f>
        <v/>
      </c>
      <c r="O274" s="32" t="str">
        <f aca="false">IF($A274="","",IF(OR($G274="",$H274="",$L274=""),"",IF(SUMPRODUCT(($A$7:$A$606&lt;&gt;"")*($G$7:$G$606=$G274)*($H$7:$H$606=$H274)*(ROW($A$7:$A$606)&lt;&gt;274)*($L$7:$L$606&lt;=$M274)*($M$7:$M$606&gt;=$L274))&gt;0,"⚠ Çakışma","OK")))</f>
        <v/>
      </c>
      <c r="P274" s="32" t="str">
        <f aca="false">IF($A274="","",IF(OR($K274="",$H274="",$L274=""),"",IF(SUMPRODUCT(($A$7:$A$606&lt;&gt;"")*($K$7:$K$606=$K274)*($H$7:$H$606=$H274)*(ROW($A$7:$A$606)&lt;&gt;274)*($L$7:$L$606&lt;=$M274)*($M$7:$M$606&gt;=$L274))&gt;0,"⚠ Çakışma","OK")))</f>
        <v/>
      </c>
      <c r="Q274" s="32" t="str">
        <f aca="false">IF($A274="","",IF(OR($E274="",$H274="",$L274=""),"",IF(SUMPRODUCT(($A$7:$A$606&lt;&gt;"")*($E$7:$E$606=$E274)*($H$7:$H$606=$H274)*(ROW($A$7:$A$606)&lt;&gt;274)*($L$7:$L$606&lt;=$M274)*($M$7:$M$606&gt;=$L274))&gt;0,"⚠ Çakışma","OK")))</f>
        <v/>
      </c>
      <c r="R274" s="32" t="str">
        <f aca="false">IF($A274="","",IF(OR($N274&lt;&gt;"",$O274="⚠ Çakışma",$P274="⚠ Çakışma",$Q274="⚠ Çakışma"),"⚠ Kontrol Et","✓ Uygun"))</f>
        <v/>
      </c>
    </row>
    <row r="275" customFormat="false" ht="13.5" hidden="false" customHeight="true" outlineLevel="0" collapsed="false">
      <c r="A275" s="32" t="str">
        <f aca="false">IF('2-Gastronomi'!A72="","","Gastronomi ve Mutfak Sanatları")</f>
        <v/>
      </c>
      <c r="B275" s="32" t="str">
        <f aca="false">IF($A275="","",IF('2-Gastronomi'!A72="","",'2-Gastronomi'!A72))</f>
        <v/>
      </c>
      <c r="C275" s="33" t="str">
        <f aca="false">IF($A275="","",IF('2-Gastronomi'!B72="","",'2-Gastronomi'!B72))</f>
        <v/>
      </c>
      <c r="D275" s="32" t="str">
        <f aca="false">IF($A275="","",IF('2-Gastronomi'!C72="","",'2-Gastronomi'!C72))</f>
        <v/>
      </c>
      <c r="E275" s="32" t="str">
        <f aca="false">IF($A275="","",$A275&amp;"-"&amp;$D275)</f>
        <v/>
      </c>
      <c r="F275" s="32" t="str">
        <f aca="false">IF($A275="","",IF('2-Gastronomi'!D72="","",'2-Gastronomi'!D72))</f>
        <v/>
      </c>
      <c r="G275" s="32" t="str">
        <f aca="false">IF($A275="","",IF('2-Gastronomi'!E72="","",'2-Gastronomi'!E72))</f>
        <v/>
      </c>
      <c r="H275" s="32" t="str">
        <f aca="false">IF($A275="","",IF('2-Gastronomi'!F72="","",'2-Gastronomi'!F72))</f>
        <v/>
      </c>
      <c r="I275" s="32" t="str">
        <f aca="false">IF($A275="","",IF('2-Gastronomi'!G72="","",'2-Gastronomi'!G72))</f>
        <v/>
      </c>
      <c r="J275" s="32" t="str">
        <f aca="false">IF($A275="","",IF('2-Gastronomi'!H72="","",'2-Gastronomi'!H72))</f>
        <v/>
      </c>
      <c r="K275" s="32" t="str">
        <f aca="false">IF($A275="","",IF('2-Gastronomi'!I72="","",'2-Gastronomi'!I72))</f>
        <v/>
      </c>
      <c r="L275" s="32" t="str">
        <f aca="false">IF($I275="","",MATCH($I275,{"08.00";"09.00";"10.00";"11.00";"12.00";"13.00";"14.00";"15.00";"16.00";"17.00"},0))</f>
        <v/>
      </c>
      <c r="M275" s="32" t="str">
        <f aca="false">IF(OR($L275="",$J275=""),"",$L275+$J275-1)</f>
        <v/>
      </c>
      <c r="N275" s="32" t="str">
        <f aca="false">IF($A275="","",IF(OR($L275="",$M275=""),"",IF($M275&gt;10,"⚠ Saat Taşıyor","")))</f>
        <v/>
      </c>
      <c r="O275" s="32" t="str">
        <f aca="false">IF($A275="","",IF(OR($G275="",$H275="",$L275=""),"",IF(SUMPRODUCT(($A$7:$A$606&lt;&gt;"")*($G$7:$G$606=$G275)*($H$7:$H$606=$H275)*(ROW($A$7:$A$606)&lt;&gt;275)*($L$7:$L$606&lt;=$M275)*($M$7:$M$606&gt;=$L275))&gt;0,"⚠ Çakışma","OK")))</f>
        <v/>
      </c>
      <c r="P275" s="32" t="str">
        <f aca="false">IF($A275="","",IF(OR($K275="",$H275="",$L275=""),"",IF(SUMPRODUCT(($A$7:$A$606&lt;&gt;"")*($K$7:$K$606=$K275)*($H$7:$H$606=$H275)*(ROW($A$7:$A$606)&lt;&gt;275)*($L$7:$L$606&lt;=$M275)*($M$7:$M$606&gt;=$L275))&gt;0,"⚠ Çakışma","OK")))</f>
        <v/>
      </c>
      <c r="Q275" s="32" t="str">
        <f aca="false">IF($A275="","",IF(OR($E275="",$H275="",$L275=""),"",IF(SUMPRODUCT(($A$7:$A$606&lt;&gt;"")*($E$7:$E$606=$E275)*($H$7:$H$606=$H275)*(ROW($A$7:$A$606)&lt;&gt;275)*($L$7:$L$606&lt;=$M275)*($M$7:$M$606&gt;=$L275))&gt;0,"⚠ Çakışma","OK")))</f>
        <v/>
      </c>
      <c r="R275" s="32" t="str">
        <f aca="false">IF($A275="","",IF(OR($N275&lt;&gt;"",$O275="⚠ Çakışma",$P275="⚠ Çakışma",$Q275="⚠ Çakışma"),"⚠ Kontrol Et","✓ Uygun"))</f>
        <v/>
      </c>
    </row>
    <row r="276" customFormat="false" ht="13.5" hidden="false" customHeight="true" outlineLevel="0" collapsed="false">
      <c r="A276" s="32" t="str">
        <f aca="false">IF('2-Gastronomi'!A73="","","Gastronomi ve Mutfak Sanatları")</f>
        <v/>
      </c>
      <c r="B276" s="32" t="str">
        <f aca="false">IF($A276="","",IF('2-Gastronomi'!A73="","",'2-Gastronomi'!A73))</f>
        <v/>
      </c>
      <c r="C276" s="33" t="str">
        <f aca="false">IF($A276="","",IF('2-Gastronomi'!B73="","",'2-Gastronomi'!B73))</f>
        <v/>
      </c>
      <c r="D276" s="32" t="str">
        <f aca="false">IF($A276="","",IF('2-Gastronomi'!C73="","",'2-Gastronomi'!C73))</f>
        <v/>
      </c>
      <c r="E276" s="32" t="str">
        <f aca="false">IF($A276="","",$A276&amp;"-"&amp;$D276)</f>
        <v/>
      </c>
      <c r="F276" s="32" t="str">
        <f aca="false">IF($A276="","",IF('2-Gastronomi'!D73="","",'2-Gastronomi'!D73))</f>
        <v/>
      </c>
      <c r="G276" s="32" t="str">
        <f aca="false">IF($A276="","",IF('2-Gastronomi'!E73="","",'2-Gastronomi'!E73))</f>
        <v/>
      </c>
      <c r="H276" s="32" t="str">
        <f aca="false">IF($A276="","",IF('2-Gastronomi'!F73="","",'2-Gastronomi'!F73))</f>
        <v/>
      </c>
      <c r="I276" s="32" t="str">
        <f aca="false">IF($A276="","",IF('2-Gastronomi'!G73="","",'2-Gastronomi'!G73))</f>
        <v/>
      </c>
      <c r="J276" s="32" t="str">
        <f aca="false">IF($A276="","",IF('2-Gastronomi'!H73="","",'2-Gastronomi'!H73))</f>
        <v/>
      </c>
      <c r="K276" s="32" t="str">
        <f aca="false">IF($A276="","",IF('2-Gastronomi'!I73="","",'2-Gastronomi'!I73))</f>
        <v/>
      </c>
      <c r="L276" s="32" t="str">
        <f aca="false">IF($I276="","",MATCH($I276,{"08.00";"09.00";"10.00";"11.00";"12.00";"13.00";"14.00";"15.00";"16.00";"17.00"},0))</f>
        <v/>
      </c>
      <c r="M276" s="32" t="str">
        <f aca="false">IF(OR($L276="",$J276=""),"",$L276+$J276-1)</f>
        <v/>
      </c>
      <c r="N276" s="32" t="str">
        <f aca="false">IF($A276="","",IF(OR($L276="",$M276=""),"",IF($M276&gt;10,"⚠ Saat Taşıyor","")))</f>
        <v/>
      </c>
      <c r="O276" s="32" t="str">
        <f aca="false">IF($A276="","",IF(OR($G276="",$H276="",$L276=""),"",IF(SUMPRODUCT(($A$7:$A$606&lt;&gt;"")*($G$7:$G$606=$G276)*($H$7:$H$606=$H276)*(ROW($A$7:$A$606)&lt;&gt;276)*($L$7:$L$606&lt;=$M276)*($M$7:$M$606&gt;=$L276))&gt;0,"⚠ Çakışma","OK")))</f>
        <v/>
      </c>
      <c r="P276" s="32" t="str">
        <f aca="false">IF($A276="","",IF(OR($K276="",$H276="",$L276=""),"",IF(SUMPRODUCT(($A$7:$A$606&lt;&gt;"")*($K$7:$K$606=$K276)*($H$7:$H$606=$H276)*(ROW($A$7:$A$606)&lt;&gt;276)*($L$7:$L$606&lt;=$M276)*($M$7:$M$606&gt;=$L276))&gt;0,"⚠ Çakışma","OK")))</f>
        <v/>
      </c>
      <c r="Q276" s="32" t="str">
        <f aca="false">IF($A276="","",IF(OR($E276="",$H276="",$L276=""),"",IF(SUMPRODUCT(($A$7:$A$606&lt;&gt;"")*($E$7:$E$606=$E276)*($H$7:$H$606=$H276)*(ROW($A$7:$A$606)&lt;&gt;276)*($L$7:$L$606&lt;=$M276)*($M$7:$M$606&gt;=$L276))&gt;0,"⚠ Çakışma","OK")))</f>
        <v/>
      </c>
      <c r="R276" s="32" t="str">
        <f aca="false">IF($A276="","",IF(OR($N276&lt;&gt;"",$O276="⚠ Çakışma",$P276="⚠ Çakışma",$Q276="⚠ Çakışma"),"⚠ Kontrol Et","✓ Uygun"))</f>
        <v/>
      </c>
    </row>
    <row r="277" customFormat="false" ht="13.5" hidden="false" customHeight="true" outlineLevel="0" collapsed="false">
      <c r="A277" s="32" t="str">
        <f aca="false">IF('2-Gastronomi'!A74="","","Gastronomi ve Mutfak Sanatları")</f>
        <v/>
      </c>
      <c r="B277" s="32" t="str">
        <f aca="false">IF($A277="","",IF('2-Gastronomi'!A74="","",'2-Gastronomi'!A74))</f>
        <v/>
      </c>
      <c r="C277" s="33" t="str">
        <f aca="false">IF($A277="","",IF('2-Gastronomi'!B74="","",'2-Gastronomi'!B74))</f>
        <v/>
      </c>
      <c r="D277" s="32" t="str">
        <f aca="false">IF($A277="","",IF('2-Gastronomi'!C74="","",'2-Gastronomi'!C74))</f>
        <v/>
      </c>
      <c r="E277" s="32" t="str">
        <f aca="false">IF($A277="","",$A277&amp;"-"&amp;$D277)</f>
        <v/>
      </c>
      <c r="F277" s="32" t="str">
        <f aca="false">IF($A277="","",IF('2-Gastronomi'!D74="","",'2-Gastronomi'!D74))</f>
        <v/>
      </c>
      <c r="G277" s="32" t="str">
        <f aca="false">IF($A277="","",IF('2-Gastronomi'!E74="","",'2-Gastronomi'!E74))</f>
        <v/>
      </c>
      <c r="H277" s="32" t="str">
        <f aca="false">IF($A277="","",IF('2-Gastronomi'!F74="","",'2-Gastronomi'!F74))</f>
        <v/>
      </c>
      <c r="I277" s="32" t="str">
        <f aca="false">IF($A277="","",IF('2-Gastronomi'!G74="","",'2-Gastronomi'!G74))</f>
        <v/>
      </c>
      <c r="J277" s="32" t="str">
        <f aca="false">IF($A277="","",IF('2-Gastronomi'!H74="","",'2-Gastronomi'!H74))</f>
        <v/>
      </c>
      <c r="K277" s="32" t="str">
        <f aca="false">IF($A277="","",IF('2-Gastronomi'!I74="","",'2-Gastronomi'!I74))</f>
        <v/>
      </c>
      <c r="L277" s="32" t="str">
        <f aca="false">IF($I277="","",MATCH($I277,{"08.00";"09.00";"10.00";"11.00";"12.00";"13.00";"14.00";"15.00";"16.00";"17.00"},0))</f>
        <v/>
      </c>
      <c r="M277" s="32" t="str">
        <f aca="false">IF(OR($L277="",$J277=""),"",$L277+$J277-1)</f>
        <v/>
      </c>
      <c r="N277" s="32" t="str">
        <f aca="false">IF($A277="","",IF(OR($L277="",$M277=""),"",IF($M277&gt;10,"⚠ Saat Taşıyor","")))</f>
        <v/>
      </c>
      <c r="O277" s="32" t="str">
        <f aca="false">IF($A277="","",IF(OR($G277="",$H277="",$L277=""),"",IF(SUMPRODUCT(($A$7:$A$606&lt;&gt;"")*($G$7:$G$606=$G277)*($H$7:$H$606=$H277)*(ROW($A$7:$A$606)&lt;&gt;277)*($L$7:$L$606&lt;=$M277)*($M$7:$M$606&gt;=$L277))&gt;0,"⚠ Çakışma","OK")))</f>
        <v/>
      </c>
      <c r="P277" s="32" t="str">
        <f aca="false">IF($A277="","",IF(OR($K277="",$H277="",$L277=""),"",IF(SUMPRODUCT(($A$7:$A$606&lt;&gt;"")*($K$7:$K$606=$K277)*($H$7:$H$606=$H277)*(ROW($A$7:$A$606)&lt;&gt;277)*($L$7:$L$606&lt;=$M277)*($M$7:$M$606&gt;=$L277))&gt;0,"⚠ Çakışma","OK")))</f>
        <v/>
      </c>
      <c r="Q277" s="32" t="str">
        <f aca="false">IF($A277="","",IF(OR($E277="",$H277="",$L277=""),"",IF(SUMPRODUCT(($A$7:$A$606&lt;&gt;"")*($E$7:$E$606=$E277)*($H$7:$H$606=$H277)*(ROW($A$7:$A$606)&lt;&gt;277)*($L$7:$L$606&lt;=$M277)*($M$7:$M$606&gt;=$L277))&gt;0,"⚠ Çakışma","OK")))</f>
        <v/>
      </c>
      <c r="R277" s="32" t="str">
        <f aca="false">IF($A277="","",IF(OR($N277&lt;&gt;"",$O277="⚠ Çakışma",$P277="⚠ Çakışma",$Q277="⚠ Çakışma"),"⚠ Kontrol Et","✓ Uygun"))</f>
        <v/>
      </c>
    </row>
    <row r="278" customFormat="false" ht="13.5" hidden="false" customHeight="true" outlineLevel="0" collapsed="false">
      <c r="A278" s="32" t="str">
        <f aca="false">IF('2-Gastronomi'!A75="","","Gastronomi ve Mutfak Sanatları")</f>
        <v/>
      </c>
      <c r="B278" s="32" t="str">
        <f aca="false">IF($A278="","",IF('2-Gastronomi'!A75="","",'2-Gastronomi'!A75))</f>
        <v/>
      </c>
      <c r="C278" s="33" t="str">
        <f aca="false">IF($A278="","",IF('2-Gastronomi'!B75="","",'2-Gastronomi'!B75))</f>
        <v/>
      </c>
      <c r="D278" s="32" t="str">
        <f aca="false">IF($A278="","",IF('2-Gastronomi'!C75="","",'2-Gastronomi'!C75))</f>
        <v/>
      </c>
      <c r="E278" s="32" t="str">
        <f aca="false">IF($A278="","",$A278&amp;"-"&amp;$D278)</f>
        <v/>
      </c>
      <c r="F278" s="32" t="str">
        <f aca="false">IF($A278="","",IF('2-Gastronomi'!D75="","",'2-Gastronomi'!D75))</f>
        <v/>
      </c>
      <c r="G278" s="32" t="str">
        <f aca="false">IF($A278="","",IF('2-Gastronomi'!E75="","",'2-Gastronomi'!E75))</f>
        <v/>
      </c>
      <c r="H278" s="32" t="str">
        <f aca="false">IF($A278="","",IF('2-Gastronomi'!F75="","",'2-Gastronomi'!F75))</f>
        <v/>
      </c>
      <c r="I278" s="32" t="str">
        <f aca="false">IF($A278="","",IF('2-Gastronomi'!G75="","",'2-Gastronomi'!G75))</f>
        <v/>
      </c>
      <c r="J278" s="32" t="str">
        <f aca="false">IF($A278="","",IF('2-Gastronomi'!H75="","",'2-Gastronomi'!H75))</f>
        <v/>
      </c>
      <c r="K278" s="32" t="str">
        <f aca="false">IF($A278="","",IF('2-Gastronomi'!I75="","",'2-Gastronomi'!I75))</f>
        <v/>
      </c>
      <c r="L278" s="32" t="str">
        <f aca="false">IF($I278="","",MATCH($I278,{"08.00";"09.00";"10.00";"11.00";"12.00";"13.00";"14.00";"15.00";"16.00";"17.00"},0))</f>
        <v/>
      </c>
      <c r="M278" s="32" t="str">
        <f aca="false">IF(OR($L278="",$J278=""),"",$L278+$J278-1)</f>
        <v/>
      </c>
      <c r="N278" s="32" t="str">
        <f aca="false">IF($A278="","",IF(OR($L278="",$M278=""),"",IF($M278&gt;10,"⚠ Saat Taşıyor","")))</f>
        <v/>
      </c>
      <c r="O278" s="32" t="str">
        <f aca="false">IF($A278="","",IF(OR($G278="",$H278="",$L278=""),"",IF(SUMPRODUCT(($A$7:$A$606&lt;&gt;"")*($G$7:$G$606=$G278)*($H$7:$H$606=$H278)*(ROW($A$7:$A$606)&lt;&gt;278)*($L$7:$L$606&lt;=$M278)*($M$7:$M$606&gt;=$L278))&gt;0,"⚠ Çakışma","OK")))</f>
        <v/>
      </c>
      <c r="P278" s="32" t="str">
        <f aca="false">IF($A278="","",IF(OR($K278="",$H278="",$L278=""),"",IF(SUMPRODUCT(($A$7:$A$606&lt;&gt;"")*($K$7:$K$606=$K278)*($H$7:$H$606=$H278)*(ROW($A$7:$A$606)&lt;&gt;278)*($L$7:$L$606&lt;=$M278)*($M$7:$M$606&gt;=$L278))&gt;0,"⚠ Çakışma","OK")))</f>
        <v/>
      </c>
      <c r="Q278" s="32" t="str">
        <f aca="false">IF($A278="","",IF(OR($E278="",$H278="",$L278=""),"",IF(SUMPRODUCT(($A$7:$A$606&lt;&gt;"")*($E$7:$E$606=$E278)*($H$7:$H$606=$H278)*(ROW($A$7:$A$606)&lt;&gt;278)*($L$7:$L$606&lt;=$M278)*($M$7:$M$606&gt;=$L278))&gt;0,"⚠ Çakışma","OK")))</f>
        <v/>
      </c>
      <c r="R278" s="32" t="str">
        <f aca="false">IF($A278="","",IF(OR($N278&lt;&gt;"",$O278="⚠ Çakışma",$P278="⚠ Çakışma",$Q278="⚠ Çakışma"),"⚠ Kontrol Et","✓ Uygun"))</f>
        <v/>
      </c>
    </row>
    <row r="279" customFormat="false" ht="13.5" hidden="false" customHeight="true" outlineLevel="0" collapsed="false">
      <c r="A279" s="32" t="str">
        <f aca="false">IF('2-Gastronomi'!A76="","","Gastronomi ve Mutfak Sanatları")</f>
        <v/>
      </c>
      <c r="B279" s="32" t="str">
        <f aca="false">IF($A279="","",IF('2-Gastronomi'!A76="","",'2-Gastronomi'!A76))</f>
        <v/>
      </c>
      <c r="C279" s="33" t="str">
        <f aca="false">IF($A279="","",IF('2-Gastronomi'!B76="","",'2-Gastronomi'!B76))</f>
        <v/>
      </c>
      <c r="D279" s="32" t="str">
        <f aca="false">IF($A279="","",IF('2-Gastronomi'!C76="","",'2-Gastronomi'!C76))</f>
        <v/>
      </c>
      <c r="E279" s="32" t="str">
        <f aca="false">IF($A279="","",$A279&amp;"-"&amp;$D279)</f>
        <v/>
      </c>
      <c r="F279" s="32" t="str">
        <f aca="false">IF($A279="","",IF('2-Gastronomi'!D76="","",'2-Gastronomi'!D76))</f>
        <v/>
      </c>
      <c r="G279" s="32" t="str">
        <f aca="false">IF($A279="","",IF('2-Gastronomi'!E76="","",'2-Gastronomi'!E76))</f>
        <v/>
      </c>
      <c r="H279" s="32" t="str">
        <f aca="false">IF($A279="","",IF('2-Gastronomi'!F76="","",'2-Gastronomi'!F76))</f>
        <v/>
      </c>
      <c r="I279" s="32" t="str">
        <f aca="false">IF($A279="","",IF('2-Gastronomi'!G76="","",'2-Gastronomi'!G76))</f>
        <v/>
      </c>
      <c r="J279" s="32" t="str">
        <f aca="false">IF($A279="","",IF('2-Gastronomi'!H76="","",'2-Gastronomi'!H76))</f>
        <v/>
      </c>
      <c r="K279" s="32" t="str">
        <f aca="false">IF($A279="","",IF('2-Gastronomi'!I76="","",'2-Gastronomi'!I76))</f>
        <v/>
      </c>
      <c r="L279" s="32" t="str">
        <f aca="false">IF($I279="","",MATCH($I279,{"08.00";"09.00";"10.00";"11.00";"12.00";"13.00";"14.00";"15.00";"16.00";"17.00"},0))</f>
        <v/>
      </c>
      <c r="M279" s="32" t="str">
        <f aca="false">IF(OR($L279="",$J279=""),"",$L279+$J279-1)</f>
        <v/>
      </c>
      <c r="N279" s="32" t="str">
        <f aca="false">IF($A279="","",IF(OR($L279="",$M279=""),"",IF($M279&gt;10,"⚠ Saat Taşıyor","")))</f>
        <v/>
      </c>
      <c r="O279" s="32" t="str">
        <f aca="false">IF($A279="","",IF(OR($G279="",$H279="",$L279=""),"",IF(SUMPRODUCT(($A$7:$A$606&lt;&gt;"")*($G$7:$G$606=$G279)*($H$7:$H$606=$H279)*(ROW($A$7:$A$606)&lt;&gt;279)*($L$7:$L$606&lt;=$M279)*($M$7:$M$606&gt;=$L279))&gt;0,"⚠ Çakışma","OK")))</f>
        <v/>
      </c>
      <c r="P279" s="32" t="str">
        <f aca="false">IF($A279="","",IF(OR($K279="",$H279="",$L279=""),"",IF(SUMPRODUCT(($A$7:$A$606&lt;&gt;"")*($K$7:$K$606=$K279)*($H$7:$H$606=$H279)*(ROW($A$7:$A$606)&lt;&gt;279)*($L$7:$L$606&lt;=$M279)*($M$7:$M$606&gt;=$L279))&gt;0,"⚠ Çakışma","OK")))</f>
        <v/>
      </c>
      <c r="Q279" s="32" t="str">
        <f aca="false">IF($A279="","",IF(OR($E279="",$H279="",$L279=""),"",IF(SUMPRODUCT(($A$7:$A$606&lt;&gt;"")*($E$7:$E$606=$E279)*($H$7:$H$606=$H279)*(ROW($A$7:$A$606)&lt;&gt;279)*($L$7:$L$606&lt;=$M279)*($M$7:$M$606&gt;=$L279))&gt;0,"⚠ Çakışma","OK")))</f>
        <v/>
      </c>
      <c r="R279" s="32" t="str">
        <f aca="false">IF($A279="","",IF(OR($N279&lt;&gt;"",$O279="⚠ Çakışma",$P279="⚠ Çakışma",$Q279="⚠ Çakışma"),"⚠ Kontrol Et","✓ Uygun"))</f>
        <v/>
      </c>
    </row>
    <row r="280" customFormat="false" ht="13.5" hidden="false" customHeight="true" outlineLevel="0" collapsed="false">
      <c r="A280" s="32" t="str">
        <f aca="false">IF('2-Gastronomi'!A77="","","Gastronomi ve Mutfak Sanatları")</f>
        <v/>
      </c>
      <c r="B280" s="32" t="str">
        <f aca="false">IF($A280="","",IF('2-Gastronomi'!A77="","",'2-Gastronomi'!A77))</f>
        <v/>
      </c>
      <c r="C280" s="33" t="str">
        <f aca="false">IF($A280="","",IF('2-Gastronomi'!B77="","",'2-Gastronomi'!B77))</f>
        <v/>
      </c>
      <c r="D280" s="32" t="str">
        <f aca="false">IF($A280="","",IF('2-Gastronomi'!C77="","",'2-Gastronomi'!C77))</f>
        <v/>
      </c>
      <c r="E280" s="32" t="str">
        <f aca="false">IF($A280="","",$A280&amp;"-"&amp;$D280)</f>
        <v/>
      </c>
      <c r="F280" s="32" t="str">
        <f aca="false">IF($A280="","",IF('2-Gastronomi'!D77="","",'2-Gastronomi'!D77))</f>
        <v/>
      </c>
      <c r="G280" s="32" t="str">
        <f aca="false">IF($A280="","",IF('2-Gastronomi'!E77="","",'2-Gastronomi'!E77))</f>
        <v/>
      </c>
      <c r="H280" s="32" t="str">
        <f aca="false">IF($A280="","",IF('2-Gastronomi'!F77="","",'2-Gastronomi'!F77))</f>
        <v/>
      </c>
      <c r="I280" s="32" t="str">
        <f aca="false">IF($A280="","",IF('2-Gastronomi'!G77="","",'2-Gastronomi'!G77))</f>
        <v/>
      </c>
      <c r="J280" s="32" t="str">
        <f aca="false">IF($A280="","",IF('2-Gastronomi'!H77="","",'2-Gastronomi'!H77))</f>
        <v/>
      </c>
      <c r="K280" s="32" t="str">
        <f aca="false">IF($A280="","",IF('2-Gastronomi'!I77="","",'2-Gastronomi'!I77))</f>
        <v/>
      </c>
      <c r="L280" s="32" t="str">
        <f aca="false">IF($I280="","",MATCH($I280,{"08.00";"09.00";"10.00";"11.00";"12.00";"13.00";"14.00";"15.00";"16.00";"17.00"},0))</f>
        <v/>
      </c>
      <c r="M280" s="32" t="str">
        <f aca="false">IF(OR($L280="",$J280=""),"",$L280+$J280-1)</f>
        <v/>
      </c>
      <c r="N280" s="32" t="str">
        <f aca="false">IF($A280="","",IF(OR($L280="",$M280=""),"",IF($M280&gt;10,"⚠ Saat Taşıyor","")))</f>
        <v/>
      </c>
      <c r="O280" s="32" t="str">
        <f aca="false">IF($A280="","",IF(OR($G280="",$H280="",$L280=""),"",IF(SUMPRODUCT(($A$7:$A$606&lt;&gt;"")*($G$7:$G$606=$G280)*($H$7:$H$606=$H280)*(ROW($A$7:$A$606)&lt;&gt;280)*($L$7:$L$606&lt;=$M280)*($M$7:$M$606&gt;=$L280))&gt;0,"⚠ Çakışma","OK")))</f>
        <v/>
      </c>
      <c r="P280" s="32" t="str">
        <f aca="false">IF($A280="","",IF(OR($K280="",$H280="",$L280=""),"",IF(SUMPRODUCT(($A$7:$A$606&lt;&gt;"")*($K$7:$K$606=$K280)*($H$7:$H$606=$H280)*(ROW($A$7:$A$606)&lt;&gt;280)*($L$7:$L$606&lt;=$M280)*($M$7:$M$606&gt;=$L280))&gt;0,"⚠ Çakışma","OK")))</f>
        <v/>
      </c>
      <c r="Q280" s="32" t="str">
        <f aca="false">IF($A280="","",IF(OR($E280="",$H280="",$L280=""),"",IF(SUMPRODUCT(($A$7:$A$606&lt;&gt;"")*($E$7:$E$606=$E280)*($H$7:$H$606=$H280)*(ROW($A$7:$A$606)&lt;&gt;280)*($L$7:$L$606&lt;=$M280)*($M$7:$M$606&gt;=$L280))&gt;0,"⚠ Çakışma","OK")))</f>
        <v/>
      </c>
      <c r="R280" s="32" t="str">
        <f aca="false">IF($A280="","",IF(OR($N280&lt;&gt;"",$O280="⚠ Çakışma",$P280="⚠ Çakışma",$Q280="⚠ Çakışma"),"⚠ Kontrol Et","✓ Uygun"))</f>
        <v/>
      </c>
    </row>
    <row r="281" customFormat="false" ht="13.5" hidden="false" customHeight="true" outlineLevel="0" collapsed="false">
      <c r="A281" s="32" t="str">
        <f aca="false">IF('2-Gastronomi'!A78="","","Gastronomi ve Mutfak Sanatları")</f>
        <v/>
      </c>
      <c r="B281" s="32" t="str">
        <f aca="false">IF($A281="","",IF('2-Gastronomi'!A78="","",'2-Gastronomi'!A78))</f>
        <v/>
      </c>
      <c r="C281" s="33" t="str">
        <f aca="false">IF($A281="","",IF('2-Gastronomi'!B78="","",'2-Gastronomi'!B78))</f>
        <v/>
      </c>
      <c r="D281" s="32" t="str">
        <f aca="false">IF($A281="","",IF('2-Gastronomi'!C78="","",'2-Gastronomi'!C78))</f>
        <v/>
      </c>
      <c r="E281" s="32" t="str">
        <f aca="false">IF($A281="","",$A281&amp;"-"&amp;$D281)</f>
        <v/>
      </c>
      <c r="F281" s="32" t="str">
        <f aca="false">IF($A281="","",IF('2-Gastronomi'!D78="","",'2-Gastronomi'!D78))</f>
        <v/>
      </c>
      <c r="G281" s="32" t="str">
        <f aca="false">IF($A281="","",IF('2-Gastronomi'!E78="","",'2-Gastronomi'!E78))</f>
        <v/>
      </c>
      <c r="H281" s="32" t="str">
        <f aca="false">IF($A281="","",IF('2-Gastronomi'!F78="","",'2-Gastronomi'!F78))</f>
        <v/>
      </c>
      <c r="I281" s="32" t="str">
        <f aca="false">IF($A281="","",IF('2-Gastronomi'!G78="","",'2-Gastronomi'!G78))</f>
        <v/>
      </c>
      <c r="J281" s="32" t="str">
        <f aca="false">IF($A281="","",IF('2-Gastronomi'!H78="","",'2-Gastronomi'!H78))</f>
        <v/>
      </c>
      <c r="K281" s="32" t="str">
        <f aca="false">IF($A281="","",IF('2-Gastronomi'!I78="","",'2-Gastronomi'!I78))</f>
        <v/>
      </c>
      <c r="L281" s="32" t="str">
        <f aca="false">IF($I281="","",MATCH($I281,{"08.00";"09.00";"10.00";"11.00";"12.00";"13.00";"14.00";"15.00";"16.00";"17.00"},0))</f>
        <v/>
      </c>
      <c r="M281" s="32" t="str">
        <f aca="false">IF(OR($L281="",$J281=""),"",$L281+$J281-1)</f>
        <v/>
      </c>
      <c r="N281" s="32" t="str">
        <f aca="false">IF($A281="","",IF(OR($L281="",$M281=""),"",IF($M281&gt;10,"⚠ Saat Taşıyor","")))</f>
        <v/>
      </c>
      <c r="O281" s="32" t="str">
        <f aca="false">IF($A281="","",IF(OR($G281="",$H281="",$L281=""),"",IF(SUMPRODUCT(($A$7:$A$606&lt;&gt;"")*($G$7:$G$606=$G281)*($H$7:$H$606=$H281)*(ROW($A$7:$A$606)&lt;&gt;281)*($L$7:$L$606&lt;=$M281)*($M$7:$M$606&gt;=$L281))&gt;0,"⚠ Çakışma","OK")))</f>
        <v/>
      </c>
      <c r="P281" s="32" t="str">
        <f aca="false">IF($A281="","",IF(OR($K281="",$H281="",$L281=""),"",IF(SUMPRODUCT(($A$7:$A$606&lt;&gt;"")*($K$7:$K$606=$K281)*($H$7:$H$606=$H281)*(ROW($A$7:$A$606)&lt;&gt;281)*($L$7:$L$606&lt;=$M281)*($M$7:$M$606&gt;=$L281))&gt;0,"⚠ Çakışma","OK")))</f>
        <v/>
      </c>
      <c r="Q281" s="32" t="str">
        <f aca="false">IF($A281="","",IF(OR($E281="",$H281="",$L281=""),"",IF(SUMPRODUCT(($A$7:$A$606&lt;&gt;"")*($E$7:$E$606=$E281)*($H$7:$H$606=$H281)*(ROW($A$7:$A$606)&lt;&gt;281)*($L$7:$L$606&lt;=$M281)*($M$7:$M$606&gt;=$L281))&gt;0,"⚠ Çakışma","OK")))</f>
        <v/>
      </c>
      <c r="R281" s="32" t="str">
        <f aca="false">IF($A281="","",IF(OR($N281&lt;&gt;"",$O281="⚠ Çakışma",$P281="⚠ Çakışma",$Q281="⚠ Çakışma"),"⚠ Kontrol Et","✓ Uygun"))</f>
        <v/>
      </c>
    </row>
    <row r="282" customFormat="false" ht="13.5" hidden="false" customHeight="true" outlineLevel="0" collapsed="false">
      <c r="A282" s="32" t="str">
        <f aca="false">IF('2-Gastronomi'!A79="","","Gastronomi ve Mutfak Sanatları")</f>
        <v/>
      </c>
      <c r="B282" s="32" t="str">
        <f aca="false">IF($A282="","",IF('2-Gastronomi'!A79="","",'2-Gastronomi'!A79))</f>
        <v/>
      </c>
      <c r="C282" s="33" t="str">
        <f aca="false">IF($A282="","",IF('2-Gastronomi'!B79="","",'2-Gastronomi'!B79))</f>
        <v/>
      </c>
      <c r="D282" s="32" t="str">
        <f aca="false">IF($A282="","",IF('2-Gastronomi'!C79="","",'2-Gastronomi'!C79))</f>
        <v/>
      </c>
      <c r="E282" s="32" t="str">
        <f aca="false">IF($A282="","",$A282&amp;"-"&amp;$D282)</f>
        <v/>
      </c>
      <c r="F282" s="32" t="str">
        <f aca="false">IF($A282="","",IF('2-Gastronomi'!D79="","",'2-Gastronomi'!D79))</f>
        <v/>
      </c>
      <c r="G282" s="32" t="str">
        <f aca="false">IF($A282="","",IF('2-Gastronomi'!E79="","",'2-Gastronomi'!E79))</f>
        <v/>
      </c>
      <c r="H282" s="32" t="str">
        <f aca="false">IF($A282="","",IF('2-Gastronomi'!F79="","",'2-Gastronomi'!F79))</f>
        <v/>
      </c>
      <c r="I282" s="32" t="str">
        <f aca="false">IF($A282="","",IF('2-Gastronomi'!G79="","",'2-Gastronomi'!G79))</f>
        <v/>
      </c>
      <c r="J282" s="32" t="str">
        <f aca="false">IF($A282="","",IF('2-Gastronomi'!H79="","",'2-Gastronomi'!H79))</f>
        <v/>
      </c>
      <c r="K282" s="32" t="str">
        <f aca="false">IF($A282="","",IF('2-Gastronomi'!I79="","",'2-Gastronomi'!I79))</f>
        <v/>
      </c>
      <c r="L282" s="32" t="str">
        <f aca="false">IF($I282="","",MATCH($I282,{"08.00";"09.00";"10.00";"11.00";"12.00";"13.00";"14.00";"15.00";"16.00";"17.00"},0))</f>
        <v/>
      </c>
      <c r="M282" s="32" t="str">
        <f aca="false">IF(OR($L282="",$J282=""),"",$L282+$J282-1)</f>
        <v/>
      </c>
      <c r="N282" s="32" t="str">
        <f aca="false">IF($A282="","",IF(OR($L282="",$M282=""),"",IF($M282&gt;10,"⚠ Saat Taşıyor","")))</f>
        <v/>
      </c>
      <c r="O282" s="32" t="str">
        <f aca="false">IF($A282="","",IF(OR($G282="",$H282="",$L282=""),"",IF(SUMPRODUCT(($A$7:$A$606&lt;&gt;"")*($G$7:$G$606=$G282)*($H$7:$H$606=$H282)*(ROW($A$7:$A$606)&lt;&gt;282)*($L$7:$L$606&lt;=$M282)*($M$7:$M$606&gt;=$L282))&gt;0,"⚠ Çakışma","OK")))</f>
        <v/>
      </c>
      <c r="P282" s="32" t="str">
        <f aca="false">IF($A282="","",IF(OR($K282="",$H282="",$L282=""),"",IF(SUMPRODUCT(($A$7:$A$606&lt;&gt;"")*($K$7:$K$606=$K282)*($H$7:$H$606=$H282)*(ROW($A$7:$A$606)&lt;&gt;282)*($L$7:$L$606&lt;=$M282)*($M$7:$M$606&gt;=$L282))&gt;0,"⚠ Çakışma","OK")))</f>
        <v/>
      </c>
      <c r="Q282" s="32" t="str">
        <f aca="false">IF($A282="","",IF(OR($E282="",$H282="",$L282=""),"",IF(SUMPRODUCT(($A$7:$A$606&lt;&gt;"")*($E$7:$E$606=$E282)*($H$7:$H$606=$H282)*(ROW($A$7:$A$606)&lt;&gt;282)*($L$7:$L$606&lt;=$M282)*($M$7:$M$606&gt;=$L282))&gt;0,"⚠ Çakışma","OK")))</f>
        <v/>
      </c>
      <c r="R282" s="32" t="str">
        <f aca="false">IF($A282="","",IF(OR($N282&lt;&gt;"",$O282="⚠ Çakışma",$P282="⚠ Çakışma",$Q282="⚠ Çakışma"),"⚠ Kontrol Et","✓ Uygun"))</f>
        <v/>
      </c>
    </row>
    <row r="283" customFormat="false" ht="13.5" hidden="false" customHeight="true" outlineLevel="0" collapsed="false">
      <c r="A283" s="32" t="str">
        <f aca="false">IF('2-Gastronomi'!A80="","","Gastronomi ve Mutfak Sanatları")</f>
        <v/>
      </c>
      <c r="B283" s="32" t="str">
        <f aca="false">IF($A283="","",IF('2-Gastronomi'!A80="","",'2-Gastronomi'!A80))</f>
        <v/>
      </c>
      <c r="C283" s="33" t="str">
        <f aca="false">IF($A283="","",IF('2-Gastronomi'!B80="","",'2-Gastronomi'!B80))</f>
        <v/>
      </c>
      <c r="D283" s="32" t="str">
        <f aca="false">IF($A283="","",IF('2-Gastronomi'!C80="","",'2-Gastronomi'!C80))</f>
        <v/>
      </c>
      <c r="E283" s="32" t="str">
        <f aca="false">IF($A283="","",$A283&amp;"-"&amp;$D283)</f>
        <v/>
      </c>
      <c r="F283" s="32" t="str">
        <f aca="false">IF($A283="","",IF('2-Gastronomi'!D80="","",'2-Gastronomi'!D80))</f>
        <v/>
      </c>
      <c r="G283" s="32" t="str">
        <f aca="false">IF($A283="","",IF('2-Gastronomi'!E80="","",'2-Gastronomi'!E80))</f>
        <v/>
      </c>
      <c r="H283" s="32" t="str">
        <f aca="false">IF($A283="","",IF('2-Gastronomi'!F80="","",'2-Gastronomi'!F80))</f>
        <v/>
      </c>
      <c r="I283" s="32" t="str">
        <f aca="false">IF($A283="","",IF('2-Gastronomi'!G80="","",'2-Gastronomi'!G80))</f>
        <v/>
      </c>
      <c r="J283" s="32" t="str">
        <f aca="false">IF($A283="","",IF('2-Gastronomi'!H80="","",'2-Gastronomi'!H80))</f>
        <v/>
      </c>
      <c r="K283" s="32" t="str">
        <f aca="false">IF($A283="","",IF('2-Gastronomi'!I80="","",'2-Gastronomi'!I80))</f>
        <v/>
      </c>
      <c r="L283" s="32" t="str">
        <f aca="false">IF($I283="","",MATCH($I283,{"08.00";"09.00";"10.00";"11.00";"12.00";"13.00";"14.00";"15.00";"16.00";"17.00"},0))</f>
        <v/>
      </c>
      <c r="M283" s="32" t="str">
        <f aca="false">IF(OR($L283="",$J283=""),"",$L283+$J283-1)</f>
        <v/>
      </c>
      <c r="N283" s="32" t="str">
        <f aca="false">IF($A283="","",IF(OR($L283="",$M283=""),"",IF($M283&gt;10,"⚠ Saat Taşıyor","")))</f>
        <v/>
      </c>
      <c r="O283" s="32" t="str">
        <f aca="false">IF($A283="","",IF(OR($G283="",$H283="",$L283=""),"",IF(SUMPRODUCT(($A$7:$A$606&lt;&gt;"")*($G$7:$G$606=$G283)*($H$7:$H$606=$H283)*(ROW($A$7:$A$606)&lt;&gt;283)*($L$7:$L$606&lt;=$M283)*($M$7:$M$606&gt;=$L283))&gt;0,"⚠ Çakışma","OK")))</f>
        <v/>
      </c>
      <c r="P283" s="32" t="str">
        <f aca="false">IF($A283="","",IF(OR($K283="",$H283="",$L283=""),"",IF(SUMPRODUCT(($A$7:$A$606&lt;&gt;"")*($K$7:$K$606=$K283)*($H$7:$H$606=$H283)*(ROW($A$7:$A$606)&lt;&gt;283)*($L$7:$L$606&lt;=$M283)*($M$7:$M$606&gt;=$L283))&gt;0,"⚠ Çakışma","OK")))</f>
        <v/>
      </c>
      <c r="Q283" s="32" t="str">
        <f aca="false">IF($A283="","",IF(OR($E283="",$H283="",$L283=""),"",IF(SUMPRODUCT(($A$7:$A$606&lt;&gt;"")*($E$7:$E$606=$E283)*($H$7:$H$606=$H283)*(ROW($A$7:$A$606)&lt;&gt;283)*($L$7:$L$606&lt;=$M283)*($M$7:$M$606&gt;=$L283))&gt;0,"⚠ Çakışma","OK")))</f>
        <v/>
      </c>
      <c r="R283" s="32" t="str">
        <f aca="false">IF($A283="","",IF(OR($N283&lt;&gt;"",$O283="⚠ Çakışma",$P283="⚠ Çakışma",$Q283="⚠ Çakışma"),"⚠ Kontrol Et","✓ Uygun"))</f>
        <v/>
      </c>
    </row>
    <row r="284" customFormat="false" ht="13.5" hidden="false" customHeight="true" outlineLevel="0" collapsed="false">
      <c r="A284" s="32" t="str">
        <f aca="false">IF('2-Gastronomi'!A81="","","Gastronomi ve Mutfak Sanatları")</f>
        <v/>
      </c>
      <c r="B284" s="32" t="str">
        <f aca="false">IF($A284="","",IF('2-Gastronomi'!A81="","",'2-Gastronomi'!A81))</f>
        <v/>
      </c>
      <c r="C284" s="33" t="str">
        <f aca="false">IF($A284="","",IF('2-Gastronomi'!B81="","",'2-Gastronomi'!B81))</f>
        <v/>
      </c>
      <c r="D284" s="32" t="str">
        <f aca="false">IF($A284="","",IF('2-Gastronomi'!C81="","",'2-Gastronomi'!C81))</f>
        <v/>
      </c>
      <c r="E284" s="32" t="str">
        <f aca="false">IF($A284="","",$A284&amp;"-"&amp;$D284)</f>
        <v/>
      </c>
      <c r="F284" s="32" t="str">
        <f aca="false">IF($A284="","",IF('2-Gastronomi'!D81="","",'2-Gastronomi'!D81))</f>
        <v/>
      </c>
      <c r="G284" s="32" t="str">
        <f aca="false">IF($A284="","",IF('2-Gastronomi'!E81="","",'2-Gastronomi'!E81))</f>
        <v/>
      </c>
      <c r="H284" s="32" t="str">
        <f aca="false">IF($A284="","",IF('2-Gastronomi'!F81="","",'2-Gastronomi'!F81))</f>
        <v/>
      </c>
      <c r="I284" s="32" t="str">
        <f aca="false">IF($A284="","",IF('2-Gastronomi'!G81="","",'2-Gastronomi'!G81))</f>
        <v/>
      </c>
      <c r="J284" s="32" t="str">
        <f aca="false">IF($A284="","",IF('2-Gastronomi'!H81="","",'2-Gastronomi'!H81))</f>
        <v/>
      </c>
      <c r="K284" s="32" t="str">
        <f aca="false">IF($A284="","",IF('2-Gastronomi'!I81="","",'2-Gastronomi'!I81))</f>
        <v/>
      </c>
      <c r="L284" s="32" t="str">
        <f aca="false">IF($I284="","",MATCH($I284,{"08.00";"09.00";"10.00";"11.00";"12.00";"13.00";"14.00";"15.00";"16.00";"17.00"},0))</f>
        <v/>
      </c>
      <c r="M284" s="32" t="str">
        <f aca="false">IF(OR($L284="",$J284=""),"",$L284+$J284-1)</f>
        <v/>
      </c>
      <c r="N284" s="32" t="str">
        <f aca="false">IF($A284="","",IF(OR($L284="",$M284=""),"",IF($M284&gt;10,"⚠ Saat Taşıyor","")))</f>
        <v/>
      </c>
      <c r="O284" s="32" t="str">
        <f aca="false">IF($A284="","",IF(OR($G284="",$H284="",$L284=""),"",IF(SUMPRODUCT(($A$7:$A$606&lt;&gt;"")*($G$7:$G$606=$G284)*($H$7:$H$606=$H284)*(ROW($A$7:$A$606)&lt;&gt;284)*($L$7:$L$606&lt;=$M284)*($M$7:$M$606&gt;=$L284))&gt;0,"⚠ Çakışma","OK")))</f>
        <v/>
      </c>
      <c r="P284" s="32" t="str">
        <f aca="false">IF($A284="","",IF(OR($K284="",$H284="",$L284=""),"",IF(SUMPRODUCT(($A$7:$A$606&lt;&gt;"")*($K$7:$K$606=$K284)*($H$7:$H$606=$H284)*(ROW($A$7:$A$606)&lt;&gt;284)*($L$7:$L$606&lt;=$M284)*($M$7:$M$606&gt;=$L284))&gt;0,"⚠ Çakışma","OK")))</f>
        <v/>
      </c>
      <c r="Q284" s="32" t="str">
        <f aca="false">IF($A284="","",IF(OR($E284="",$H284="",$L284=""),"",IF(SUMPRODUCT(($A$7:$A$606&lt;&gt;"")*($E$7:$E$606=$E284)*($H$7:$H$606=$H284)*(ROW($A$7:$A$606)&lt;&gt;284)*($L$7:$L$606&lt;=$M284)*($M$7:$M$606&gt;=$L284))&gt;0,"⚠ Çakışma","OK")))</f>
        <v/>
      </c>
      <c r="R284" s="32" t="str">
        <f aca="false">IF($A284="","",IF(OR($N284&lt;&gt;"",$O284="⚠ Çakışma",$P284="⚠ Çakışma",$Q284="⚠ Çakışma"),"⚠ Kontrol Et","✓ Uygun"))</f>
        <v/>
      </c>
    </row>
    <row r="285" customFormat="false" ht="13.5" hidden="false" customHeight="true" outlineLevel="0" collapsed="false">
      <c r="A285" s="32" t="str">
        <f aca="false">IF('2-Gastronomi'!A82="","","Gastronomi ve Mutfak Sanatları")</f>
        <v/>
      </c>
      <c r="B285" s="32" t="str">
        <f aca="false">IF($A285="","",IF('2-Gastronomi'!A82="","",'2-Gastronomi'!A82))</f>
        <v/>
      </c>
      <c r="C285" s="33" t="str">
        <f aca="false">IF($A285="","",IF('2-Gastronomi'!B82="","",'2-Gastronomi'!B82))</f>
        <v/>
      </c>
      <c r="D285" s="32" t="str">
        <f aca="false">IF($A285="","",IF('2-Gastronomi'!C82="","",'2-Gastronomi'!C82))</f>
        <v/>
      </c>
      <c r="E285" s="32" t="str">
        <f aca="false">IF($A285="","",$A285&amp;"-"&amp;$D285)</f>
        <v/>
      </c>
      <c r="F285" s="32" t="str">
        <f aca="false">IF($A285="","",IF('2-Gastronomi'!D82="","",'2-Gastronomi'!D82))</f>
        <v/>
      </c>
      <c r="G285" s="32" t="str">
        <f aca="false">IF($A285="","",IF('2-Gastronomi'!E82="","",'2-Gastronomi'!E82))</f>
        <v/>
      </c>
      <c r="H285" s="32" t="str">
        <f aca="false">IF($A285="","",IF('2-Gastronomi'!F82="","",'2-Gastronomi'!F82))</f>
        <v/>
      </c>
      <c r="I285" s="32" t="str">
        <f aca="false">IF($A285="","",IF('2-Gastronomi'!G82="","",'2-Gastronomi'!G82))</f>
        <v/>
      </c>
      <c r="J285" s="32" t="str">
        <f aca="false">IF($A285="","",IF('2-Gastronomi'!H82="","",'2-Gastronomi'!H82))</f>
        <v/>
      </c>
      <c r="K285" s="32" t="str">
        <f aca="false">IF($A285="","",IF('2-Gastronomi'!I82="","",'2-Gastronomi'!I82))</f>
        <v/>
      </c>
      <c r="L285" s="32" t="str">
        <f aca="false">IF($I285="","",MATCH($I285,{"08.00";"09.00";"10.00";"11.00";"12.00";"13.00";"14.00";"15.00";"16.00";"17.00"},0))</f>
        <v/>
      </c>
      <c r="M285" s="32" t="str">
        <f aca="false">IF(OR($L285="",$J285=""),"",$L285+$J285-1)</f>
        <v/>
      </c>
      <c r="N285" s="32" t="str">
        <f aca="false">IF($A285="","",IF(OR($L285="",$M285=""),"",IF($M285&gt;10,"⚠ Saat Taşıyor","")))</f>
        <v/>
      </c>
      <c r="O285" s="32" t="str">
        <f aca="false">IF($A285="","",IF(OR($G285="",$H285="",$L285=""),"",IF(SUMPRODUCT(($A$7:$A$606&lt;&gt;"")*($G$7:$G$606=$G285)*($H$7:$H$606=$H285)*(ROW($A$7:$A$606)&lt;&gt;285)*($L$7:$L$606&lt;=$M285)*($M$7:$M$606&gt;=$L285))&gt;0,"⚠ Çakışma","OK")))</f>
        <v/>
      </c>
      <c r="P285" s="32" t="str">
        <f aca="false">IF($A285="","",IF(OR($K285="",$H285="",$L285=""),"",IF(SUMPRODUCT(($A$7:$A$606&lt;&gt;"")*($K$7:$K$606=$K285)*($H$7:$H$606=$H285)*(ROW($A$7:$A$606)&lt;&gt;285)*($L$7:$L$606&lt;=$M285)*($M$7:$M$606&gt;=$L285))&gt;0,"⚠ Çakışma","OK")))</f>
        <v/>
      </c>
      <c r="Q285" s="32" t="str">
        <f aca="false">IF($A285="","",IF(OR($E285="",$H285="",$L285=""),"",IF(SUMPRODUCT(($A$7:$A$606&lt;&gt;"")*($E$7:$E$606=$E285)*($H$7:$H$606=$H285)*(ROW($A$7:$A$606)&lt;&gt;285)*($L$7:$L$606&lt;=$M285)*($M$7:$M$606&gt;=$L285))&gt;0,"⚠ Çakışma","OK")))</f>
        <v/>
      </c>
      <c r="R285" s="32" t="str">
        <f aca="false">IF($A285="","",IF(OR($N285&lt;&gt;"",$O285="⚠ Çakışma",$P285="⚠ Çakışma",$Q285="⚠ Çakışma"),"⚠ Kontrol Et","✓ Uygun"))</f>
        <v/>
      </c>
    </row>
    <row r="286" customFormat="false" ht="13.5" hidden="false" customHeight="true" outlineLevel="0" collapsed="false">
      <c r="A286" s="32" t="str">
        <f aca="false">IF('2-Gastronomi'!A83="","","Gastronomi ve Mutfak Sanatları")</f>
        <v/>
      </c>
      <c r="B286" s="32" t="str">
        <f aca="false">IF($A286="","",IF('2-Gastronomi'!A83="","",'2-Gastronomi'!A83))</f>
        <v/>
      </c>
      <c r="C286" s="33" t="str">
        <f aca="false">IF($A286="","",IF('2-Gastronomi'!B83="","",'2-Gastronomi'!B83))</f>
        <v/>
      </c>
      <c r="D286" s="32" t="str">
        <f aca="false">IF($A286="","",IF('2-Gastronomi'!C83="","",'2-Gastronomi'!C83))</f>
        <v/>
      </c>
      <c r="E286" s="32" t="str">
        <f aca="false">IF($A286="","",$A286&amp;"-"&amp;$D286)</f>
        <v/>
      </c>
      <c r="F286" s="32" t="str">
        <f aca="false">IF($A286="","",IF('2-Gastronomi'!D83="","",'2-Gastronomi'!D83))</f>
        <v/>
      </c>
      <c r="G286" s="32" t="str">
        <f aca="false">IF($A286="","",IF('2-Gastronomi'!E83="","",'2-Gastronomi'!E83))</f>
        <v/>
      </c>
      <c r="H286" s="32" t="str">
        <f aca="false">IF($A286="","",IF('2-Gastronomi'!F83="","",'2-Gastronomi'!F83))</f>
        <v/>
      </c>
      <c r="I286" s="32" t="str">
        <f aca="false">IF($A286="","",IF('2-Gastronomi'!G83="","",'2-Gastronomi'!G83))</f>
        <v/>
      </c>
      <c r="J286" s="32" t="str">
        <f aca="false">IF($A286="","",IF('2-Gastronomi'!H83="","",'2-Gastronomi'!H83))</f>
        <v/>
      </c>
      <c r="K286" s="32" t="str">
        <f aca="false">IF($A286="","",IF('2-Gastronomi'!I83="","",'2-Gastronomi'!I83))</f>
        <v/>
      </c>
      <c r="L286" s="32" t="str">
        <f aca="false">IF($I286="","",MATCH($I286,{"08.00";"09.00";"10.00";"11.00";"12.00";"13.00";"14.00";"15.00";"16.00";"17.00"},0))</f>
        <v/>
      </c>
      <c r="M286" s="32" t="str">
        <f aca="false">IF(OR($L286="",$J286=""),"",$L286+$J286-1)</f>
        <v/>
      </c>
      <c r="N286" s="32" t="str">
        <f aca="false">IF($A286="","",IF(OR($L286="",$M286=""),"",IF($M286&gt;10,"⚠ Saat Taşıyor","")))</f>
        <v/>
      </c>
      <c r="O286" s="32" t="str">
        <f aca="false">IF($A286="","",IF(OR($G286="",$H286="",$L286=""),"",IF(SUMPRODUCT(($A$7:$A$606&lt;&gt;"")*($G$7:$G$606=$G286)*($H$7:$H$606=$H286)*(ROW($A$7:$A$606)&lt;&gt;286)*($L$7:$L$606&lt;=$M286)*($M$7:$M$606&gt;=$L286))&gt;0,"⚠ Çakışma","OK")))</f>
        <v/>
      </c>
      <c r="P286" s="32" t="str">
        <f aca="false">IF($A286="","",IF(OR($K286="",$H286="",$L286=""),"",IF(SUMPRODUCT(($A$7:$A$606&lt;&gt;"")*($K$7:$K$606=$K286)*($H$7:$H$606=$H286)*(ROW($A$7:$A$606)&lt;&gt;286)*($L$7:$L$606&lt;=$M286)*($M$7:$M$606&gt;=$L286))&gt;0,"⚠ Çakışma","OK")))</f>
        <v/>
      </c>
      <c r="Q286" s="32" t="str">
        <f aca="false">IF($A286="","",IF(OR($E286="",$H286="",$L286=""),"",IF(SUMPRODUCT(($A$7:$A$606&lt;&gt;"")*($E$7:$E$606=$E286)*($H$7:$H$606=$H286)*(ROW($A$7:$A$606)&lt;&gt;286)*($L$7:$L$606&lt;=$M286)*($M$7:$M$606&gt;=$L286))&gt;0,"⚠ Çakışma","OK")))</f>
        <v/>
      </c>
      <c r="R286" s="32" t="str">
        <f aca="false">IF($A286="","",IF(OR($N286&lt;&gt;"",$O286="⚠ Çakışma",$P286="⚠ Çakışma",$Q286="⚠ Çakışma"),"⚠ Kontrol Et","✓ Uygun"))</f>
        <v/>
      </c>
    </row>
    <row r="287" customFormat="false" ht="13.5" hidden="false" customHeight="true" outlineLevel="0" collapsed="false">
      <c r="A287" s="32" t="str">
        <f aca="false">IF('2-Gastronomi'!A84="","","Gastronomi ve Mutfak Sanatları")</f>
        <v/>
      </c>
      <c r="B287" s="32" t="str">
        <f aca="false">IF($A287="","",IF('2-Gastronomi'!A84="","",'2-Gastronomi'!A84))</f>
        <v/>
      </c>
      <c r="C287" s="33" t="str">
        <f aca="false">IF($A287="","",IF('2-Gastronomi'!B84="","",'2-Gastronomi'!B84))</f>
        <v/>
      </c>
      <c r="D287" s="32" t="str">
        <f aca="false">IF($A287="","",IF('2-Gastronomi'!C84="","",'2-Gastronomi'!C84))</f>
        <v/>
      </c>
      <c r="E287" s="32" t="str">
        <f aca="false">IF($A287="","",$A287&amp;"-"&amp;$D287)</f>
        <v/>
      </c>
      <c r="F287" s="32" t="str">
        <f aca="false">IF($A287="","",IF('2-Gastronomi'!D84="","",'2-Gastronomi'!D84))</f>
        <v/>
      </c>
      <c r="G287" s="32" t="str">
        <f aca="false">IF($A287="","",IF('2-Gastronomi'!E84="","",'2-Gastronomi'!E84))</f>
        <v/>
      </c>
      <c r="H287" s="32" t="str">
        <f aca="false">IF($A287="","",IF('2-Gastronomi'!F84="","",'2-Gastronomi'!F84))</f>
        <v/>
      </c>
      <c r="I287" s="32" t="str">
        <f aca="false">IF($A287="","",IF('2-Gastronomi'!G84="","",'2-Gastronomi'!G84))</f>
        <v/>
      </c>
      <c r="J287" s="32" t="str">
        <f aca="false">IF($A287="","",IF('2-Gastronomi'!H84="","",'2-Gastronomi'!H84))</f>
        <v/>
      </c>
      <c r="K287" s="32" t="str">
        <f aca="false">IF($A287="","",IF('2-Gastronomi'!I84="","",'2-Gastronomi'!I84))</f>
        <v/>
      </c>
      <c r="L287" s="32" t="str">
        <f aca="false">IF($I287="","",MATCH($I287,{"08.00";"09.00";"10.00";"11.00";"12.00";"13.00";"14.00";"15.00";"16.00";"17.00"},0))</f>
        <v/>
      </c>
      <c r="M287" s="32" t="str">
        <f aca="false">IF(OR($L287="",$J287=""),"",$L287+$J287-1)</f>
        <v/>
      </c>
      <c r="N287" s="32" t="str">
        <f aca="false">IF($A287="","",IF(OR($L287="",$M287=""),"",IF($M287&gt;10,"⚠ Saat Taşıyor","")))</f>
        <v/>
      </c>
      <c r="O287" s="32" t="str">
        <f aca="false">IF($A287="","",IF(OR($G287="",$H287="",$L287=""),"",IF(SUMPRODUCT(($A$7:$A$606&lt;&gt;"")*($G$7:$G$606=$G287)*($H$7:$H$606=$H287)*(ROW($A$7:$A$606)&lt;&gt;287)*($L$7:$L$606&lt;=$M287)*($M$7:$M$606&gt;=$L287))&gt;0,"⚠ Çakışma","OK")))</f>
        <v/>
      </c>
      <c r="P287" s="32" t="str">
        <f aca="false">IF($A287="","",IF(OR($K287="",$H287="",$L287=""),"",IF(SUMPRODUCT(($A$7:$A$606&lt;&gt;"")*($K$7:$K$606=$K287)*($H$7:$H$606=$H287)*(ROW($A$7:$A$606)&lt;&gt;287)*($L$7:$L$606&lt;=$M287)*($M$7:$M$606&gt;=$L287))&gt;0,"⚠ Çakışma","OK")))</f>
        <v/>
      </c>
      <c r="Q287" s="32" t="str">
        <f aca="false">IF($A287="","",IF(OR($E287="",$H287="",$L287=""),"",IF(SUMPRODUCT(($A$7:$A$606&lt;&gt;"")*($E$7:$E$606=$E287)*($H$7:$H$606=$H287)*(ROW($A$7:$A$606)&lt;&gt;287)*($L$7:$L$606&lt;=$M287)*($M$7:$M$606&gt;=$L287))&gt;0,"⚠ Çakışma","OK")))</f>
        <v/>
      </c>
      <c r="R287" s="32" t="str">
        <f aca="false">IF($A287="","",IF(OR($N287&lt;&gt;"",$O287="⚠ Çakışma",$P287="⚠ Çakışma",$Q287="⚠ Çakışma"),"⚠ Kontrol Et","✓ Uygun"))</f>
        <v/>
      </c>
    </row>
    <row r="288" customFormat="false" ht="13.5" hidden="false" customHeight="true" outlineLevel="0" collapsed="false">
      <c r="A288" s="32" t="str">
        <f aca="false">IF('2-Gastronomi'!A85="","","Gastronomi ve Mutfak Sanatları")</f>
        <v/>
      </c>
      <c r="B288" s="32" t="str">
        <f aca="false">IF($A288="","",IF('2-Gastronomi'!A85="","",'2-Gastronomi'!A85))</f>
        <v/>
      </c>
      <c r="C288" s="33" t="str">
        <f aca="false">IF($A288="","",IF('2-Gastronomi'!B85="","",'2-Gastronomi'!B85))</f>
        <v/>
      </c>
      <c r="D288" s="32" t="str">
        <f aca="false">IF($A288="","",IF('2-Gastronomi'!C85="","",'2-Gastronomi'!C85))</f>
        <v/>
      </c>
      <c r="E288" s="32" t="str">
        <f aca="false">IF($A288="","",$A288&amp;"-"&amp;$D288)</f>
        <v/>
      </c>
      <c r="F288" s="32" t="str">
        <f aca="false">IF($A288="","",IF('2-Gastronomi'!D85="","",'2-Gastronomi'!D85))</f>
        <v/>
      </c>
      <c r="G288" s="32" t="str">
        <f aca="false">IF($A288="","",IF('2-Gastronomi'!E85="","",'2-Gastronomi'!E85))</f>
        <v/>
      </c>
      <c r="H288" s="32" t="str">
        <f aca="false">IF($A288="","",IF('2-Gastronomi'!F85="","",'2-Gastronomi'!F85))</f>
        <v/>
      </c>
      <c r="I288" s="32" t="str">
        <f aca="false">IF($A288="","",IF('2-Gastronomi'!G85="","",'2-Gastronomi'!G85))</f>
        <v/>
      </c>
      <c r="J288" s="32" t="str">
        <f aca="false">IF($A288="","",IF('2-Gastronomi'!H85="","",'2-Gastronomi'!H85))</f>
        <v/>
      </c>
      <c r="K288" s="32" t="str">
        <f aca="false">IF($A288="","",IF('2-Gastronomi'!I85="","",'2-Gastronomi'!I85))</f>
        <v/>
      </c>
      <c r="L288" s="32" t="str">
        <f aca="false">IF($I288="","",MATCH($I288,{"08.00";"09.00";"10.00";"11.00";"12.00";"13.00";"14.00";"15.00";"16.00";"17.00"},0))</f>
        <v/>
      </c>
      <c r="M288" s="32" t="str">
        <f aca="false">IF(OR($L288="",$J288=""),"",$L288+$J288-1)</f>
        <v/>
      </c>
      <c r="N288" s="32" t="str">
        <f aca="false">IF($A288="","",IF(OR($L288="",$M288=""),"",IF($M288&gt;10,"⚠ Saat Taşıyor","")))</f>
        <v/>
      </c>
      <c r="O288" s="32" t="str">
        <f aca="false">IF($A288="","",IF(OR($G288="",$H288="",$L288=""),"",IF(SUMPRODUCT(($A$7:$A$606&lt;&gt;"")*($G$7:$G$606=$G288)*($H$7:$H$606=$H288)*(ROW($A$7:$A$606)&lt;&gt;288)*($L$7:$L$606&lt;=$M288)*($M$7:$M$606&gt;=$L288))&gt;0,"⚠ Çakışma","OK")))</f>
        <v/>
      </c>
      <c r="P288" s="32" t="str">
        <f aca="false">IF($A288="","",IF(OR($K288="",$H288="",$L288=""),"",IF(SUMPRODUCT(($A$7:$A$606&lt;&gt;"")*($K$7:$K$606=$K288)*($H$7:$H$606=$H288)*(ROW($A$7:$A$606)&lt;&gt;288)*($L$7:$L$606&lt;=$M288)*($M$7:$M$606&gt;=$L288))&gt;0,"⚠ Çakışma","OK")))</f>
        <v/>
      </c>
      <c r="Q288" s="32" t="str">
        <f aca="false">IF($A288="","",IF(OR($E288="",$H288="",$L288=""),"",IF(SUMPRODUCT(($A$7:$A$606&lt;&gt;"")*($E$7:$E$606=$E288)*($H$7:$H$606=$H288)*(ROW($A$7:$A$606)&lt;&gt;288)*($L$7:$L$606&lt;=$M288)*($M$7:$M$606&gt;=$L288))&gt;0,"⚠ Çakışma","OK")))</f>
        <v/>
      </c>
      <c r="R288" s="32" t="str">
        <f aca="false">IF($A288="","",IF(OR($N288&lt;&gt;"",$O288="⚠ Çakışma",$P288="⚠ Çakışma",$Q288="⚠ Çakışma"),"⚠ Kontrol Et","✓ Uygun"))</f>
        <v/>
      </c>
    </row>
    <row r="289" customFormat="false" ht="13.5" hidden="false" customHeight="true" outlineLevel="0" collapsed="false">
      <c r="A289" s="32" t="str">
        <f aca="false">IF('2-Gastronomi'!A86="","","Gastronomi ve Mutfak Sanatları")</f>
        <v/>
      </c>
      <c r="B289" s="32" t="str">
        <f aca="false">IF($A289="","",IF('2-Gastronomi'!A86="","",'2-Gastronomi'!A86))</f>
        <v/>
      </c>
      <c r="C289" s="33" t="str">
        <f aca="false">IF($A289="","",IF('2-Gastronomi'!B86="","",'2-Gastronomi'!B86))</f>
        <v/>
      </c>
      <c r="D289" s="32" t="str">
        <f aca="false">IF($A289="","",IF('2-Gastronomi'!C86="","",'2-Gastronomi'!C86))</f>
        <v/>
      </c>
      <c r="E289" s="32" t="str">
        <f aca="false">IF($A289="","",$A289&amp;"-"&amp;$D289)</f>
        <v/>
      </c>
      <c r="F289" s="32" t="str">
        <f aca="false">IF($A289="","",IF('2-Gastronomi'!D86="","",'2-Gastronomi'!D86))</f>
        <v/>
      </c>
      <c r="G289" s="32" t="str">
        <f aca="false">IF($A289="","",IF('2-Gastronomi'!E86="","",'2-Gastronomi'!E86))</f>
        <v/>
      </c>
      <c r="H289" s="32" t="str">
        <f aca="false">IF($A289="","",IF('2-Gastronomi'!F86="","",'2-Gastronomi'!F86))</f>
        <v/>
      </c>
      <c r="I289" s="32" t="str">
        <f aca="false">IF($A289="","",IF('2-Gastronomi'!G86="","",'2-Gastronomi'!G86))</f>
        <v/>
      </c>
      <c r="J289" s="32" t="str">
        <f aca="false">IF($A289="","",IF('2-Gastronomi'!H86="","",'2-Gastronomi'!H86))</f>
        <v/>
      </c>
      <c r="K289" s="32" t="str">
        <f aca="false">IF($A289="","",IF('2-Gastronomi'!I86="","",'2-Gastronomi'!I86))</f>
        <v/>
      </c>
      <c r="L289" s="32" t="str">
        <f aca="false">IF($I289="","",MATCH($I289,{"08.00";"09.00";"10.00";"11.00";"12.00";"13.00";"14.00";"15.00";"16.00";"17.00"},0))</f>
        <v/>
      </c>
      <c r="M289" s="32" t="str">
        <f aca="false">IF(OR($L289="",$J289=""),"",$L289+$J289-1)</f>
        <v/>
      </c>
      <c r="N289" s="32" t="str">
        <f aca="false">IF($A289="","",IF(OR($L289="",$M289=""),"",IF($M289&gt;10,"⚠ Saat Taşıyor","")))</f>
        <v/>
      </c>
      <c r="O289" s="32" t="str">
        <f aca="false">IF($A289="","",IF(OR($G289="",$H289="",$L289=""),"",IF(SUMPRODUCT(($A$7:$A$606&lt;&gt;"")*($G$7:$G$606=$G289)*($H$7:$H$606=$H289)*(ROW($A$7:$A$606)&lt;&gt;289)*($L$7:$L$606&lt;=$M289)*($M$7:$M$606&gt;=$L289))&gt;0,"⚠ Çakışma","OK")))</f>
        <v/>
      </c>
      <c r="P289" s="32" t="str">
        <f aca="false">IF($A289="","",IF(OR($K289="",$H289="",$L289=""),"",IF(SUMPRODUCT(($A$7:$A$606&lt;&gt;"")*($K$7:$K$606=$K289)*($H$7:$H$606=$H289)*(ROW($A$7:$A$606)&lt;&gt;289)*($L$7:$L$606&lt;=$M289)*($M$7:$M$606&gt;=$L289))&gt;0,"⚠ Çakışma","OK")))</f>
        <v/>
      </c>
      <c r="Q289" s="32" t="str">
        <f aca="false">IF($A289="","",IF(OR($E289="",$H289="",$L289=""),"",IF(SUMPRODUCT(($A$7:$A$606&lt;&gt;"")*($E$7:$E$606=$E289)*($H$7:$H$606=$H289)*(ROW($A$7:$A$606)&lt;&gt;289)*($L$7:$L$606&lt;=$M289)*($M$7:$M$606&gt;=$L289))&gt;0,"⚠ Çakışma","OK")))</f>
        <v/>
      </c>
      <c r="R289" s="32" t="str">
        <f aca="false">IF($A289="","",IF(OR($N289&lt;&gt;"",$O289="⚠ Çakışma",$P289="⚠ Çakışma",$Q289="⚠ Çakışma"),"⚠ Kontrol Et","✓ Uygun"))</f>
        <v/>
      </c>
    </row>
    <row r="290" customFormat="false" ht="13.5" hidden="false" customHeight="true" outlineLevel="0" collapsed="false">
      <c r="A290" s="32" t="str">
        <f aca="false">IF('2-Gastronomi'!A87="","","Gastronomi ve Mutfak Sanatları")</f>
        <v/>
      </c>
      <c r="B290" s="32" t="str">
        <f aca="false">IF($A290="","",IF('2-Gastronomi'!A87="","",'2-Gastronomi'!A87))</f>
        <v/>
      </c>
      <c r="C290" s="33" t="str">
        <f aca="false">IF($A290="","",IF('2-Gastronomi'!B87="","",'2-Gastronomi'!B87))</f>
        <v/>
      </c>
      <c r="D290" s="32" t="str">
        <f aca="false">IF($A290="","",IF('2-Gastronomi'!C87="","",'2-Gastronomi'!C87))</f>
        <v/>
      </c>
      <c r="E290" s="32" t="str">
        <f aca="false">IF($A290="","",$A290&amp;"-"&amp;$D290)</f>
        <v/>
      </c>
      <c r="F290" s="32" t="str">
        <f aca="false">IF($A290="","",IF('2-Gastronomi'!D87="","",'2-Gastronomi'!D87))</f>
        <v/>
      </c>
      <c r="G290" s="32" t="str">
        <f aca="false">IF($A290="","",IF('2-Gastronomi'!E87="","",'2-Gastronomi'!E87))</f>
        <v/>
      </c>
      <c r="H290" s="32" t="str">
        <f aca="false">IF($A290="","",IF('2-Gastronomi'!F87="","",'2-Gastronomi'!F87))</f>
        <v/>
      </c>
      <c r="I290" s="32" t="str">
        <f aca="false">IF($A290="","",IF('2-Gastronomi'!G87="","",'2-Gastronomi'!G87))</f>
        <v/>
      </c>
      <c r="J290" s="32" t="str">
        <f aca="false">IF($A290="","",IF('2-Gastronomi'!H87="","",'2-Gastronomi'!H87))</f>
        <v/>
      </c>
      <c r="K290" s="32" t="str">
        <f aca="false">IF($A290="","",IF('2-Gastronomi'!I87="","",'2-Gastronomi'!I87))</f>
        <v/>
      </c>
      <c r="L290" s="32" t="str">
        <f aca="false">IF($I290="","",MATCH($I290,{"08.00";"09.00";"10.00";"11.00";"12.00";"13.00";"14.00";"15.00";"16.00";"17.00"},0))</f>
        <v/>
      </c>
      <c r="M290" s="32" t="str">
        <f aca="false">IF(OR($L290="",$J290=""),"",$L290+$J290-1)</f>
        <v/>
      </c>
      <c r="N290" s="32" t="str">
        <f aca="false">IF($A290="","",IF(OR($L290="",$M290=""),"",IF($M290&gt;10,"⚠ Saat Taşıyor","")))</f>
        <v/>
      </c>
      <c r="O290" s="32" t="str">
        <f aca="false">IF($A290="","",IF(OR($G290="",$H290="",$L290=""),"",IF(SUMPRODUCT(($A$7:$A$606&lt;&gt;"")*($G$7:$G$606=$G290)*($H$7:$H$606=$H290)*(ROW($A$7:$A$606)&lt;&gt;290)*($L$7:$L$606&lt;=$M290)*($M$7:$M$606&gt;=$L290))&gt;0,"⚠ Çakışma","OK")))</f>
        <v/>
      </c>
      <c r="P290" s="32" t="str">
        <f aca="false">IF($A290="","",IF(OR($K290="",$H290="",$L290=""),"",IF(SUMPRODUCT(($A$7:$A$606&lt;&gt;"")*($K$7:$K$606=$K290)*($H$7:$H$606=$H290)*(ROW($A$7:$A$606)&lt;&gt;290)*($L$7:$L$606&lt;=$M290)*($M$7:$M$606&gt;=$L290))&gt;0,"⚠ Çakışma","OK")))</f>
        <v/>
      </c>
      <c r="Q290" s="32" t="str">
        <f aca="false">IF($A290="","",IF(OR($E290="",$H290="",$L290=""),"",IF(SUMPRODUCT(($A$7:$A$606&lt;&gt;"")*($E$7:$E$606=$E290)*($H$7:$H$606=$H290)*(ROW($A$7:$A$606)&lt;&gt;290)*($L$7:$L$606&lt;=$M290)*($M$7:$M$606&gt;=$L290))&gt;0,"⚠ Çakışma","OK")))</f>
        <v/>
      </c>
      <c r="R290" s="32" t="str">
        <f aca="false">IF($A290="","",IF(OR($N290&lt;&gt;"",$O290="⚠ Çakışma",$P290="⚠ Çakışma",$Q290="⚠ Çakışma"),"⚠ Kontrol Et","✓ Uygun"))</f>
        <v/>
      </c>
    </row>
    <row r="291" customFormat="false" ht="13.5" hidden="false" customHeight="true" outlineLevel="0" collapsed="false">
      <c r="A291" s="32" t="str">
        <f aca="false">IF('2-Gastronomi'!A88="","","Gastronomi ve Mutfak Sanatları")</f>
        <v/>
      </c>
      <c r="B291" s="32" t="str">
        <f aca="false">IF($A291="","",IF('2-Gastronomi'!A88="","",'2-Gastronomi'!A88))</f>
        <v/>
      </c>
      <c r="C291" s="33" t="str">
        <f aca="false">IF($A291="","",IF('2-Gastronomi'!B88="","",'2-Gastronomi'!B88))</f>
        <v/>
      </c>
      <c r="D291" s="32" t="str">
        <f aca="false">IF($A291="","",IF('2-Gastronomi'!C88="","",'2-Gastronomi'!C88))</f>
        <v/>
      </c>
      <c r="E291" s="32" t="str">
        <f aca="false">IF($A291="","",$A291&amp;"-"&amp;$D291)</f>
        <v/>
      </c>
      <c r="F291" s="32" t="str">
        <f aca="false">IF($A291="","",IF('2-Gastronomi'!D88="","",'2-Gastronomi'!D88))</f>
        <v/>
      </c>
      <c r="G291" s="32" t="str">
        <f aca="false">IF($A291="","",IF('2-Gastronomi'!E88="","",'2-Gastronomi'!E88))</f>
        <v/>
      </c>
      <c r="H291" s="32" t="str">
        <f aca="false">IF($A291="","",IF('2-Gastronomi'!F88="","",'2-Gastronomi'!F88))</f>
        <v/>
      </c>
      <c r="I291" s="32" t="str">
        <f aca="false">IF($A291="","",IF('2-Gastronomi'!G88="","",'2-Gastronomi'!G88))</f>
        <v/>
      </c>
      <c r="J291" s="32" t="str">
        <f aca="false">IF($A291="","",IF('2-Gastronomi'!H88="","",'2-Gastronomi'!H88))</f>
        <v/>
      </c>
      <c r="K291" s="32" t="str">
        <f aca="false">IF($A291="","",IF('2-Gastronomi'!I88="","",'2-Gastronomi'!I88))</f>
        <v/>
      </c>
      <c r="L291" s="32" t="str">
        <f aca="false">IF($I291="","",MATCH($I291,{"08.00";"09.00";"10.00";"11.00";"12.00";"13.00";"14.00";"15.00";"16.00";"17.00"},0))</f>
        <v/>
      </c>
      <c r="M291" s="32" t="str">
        <f aca="false">IF(OR($L291="",$J291=""),"",$L291+$J291-1)</f>
        <v/>
      </c>
      <c r="N291" s="32" t="str">
        <f aca="false">IF($A291="","",IF(OR($L291="",$M291=""),"",IF($M291&gt;10,"⚠ Saat Taşıyor","")))</f>
        <v/>
      </c>
      <c r="O291" s="32" t="str">
        <f aca="false">IF($A291="","",IF(OR($G291="",$H291="",$L291=""),"",IF(SUMPRODUCT(($A$7:$A$606&lt;&gt;"")*($G$7:$G$606=$G291)*($H$7:$H$606=$H291)*(ROW($A$7:$A$606)&lt;&gt;291)*($L$7:$L$606&lt;=$M291)*($M$7:$M$606&gt;=$L291))&gt;0,"⚠ Çakışma","OK")))</f>
        <v/>
      </c>
      <c r="P291" s="32" t="str">
        <f aca="false">IF($A291="","",IF(OR($K291="",$H291="",$L291=""),"",IF(SUMPRODUCT(($A$7:$A$606&lt;&gt;"")*($K$7:$K$606=$K291)*($H$7:$H$606=$H291)*(ROW($A$7:$A$606)&lt;&gt;291)*($L$7:$L$606&lt;=$M291)*($M$7:$M$606&gt;=$L291))&gt;0,"⚠ Çakışma","OK")))</f>
        <v/>
      </c>
      <c r="Q291" s="32" t="str">
        <f aca="false">IF($A291="","",IF(OR($E291="",$H291="",$L291=""),"",IF(SUMPRODUCT(($A$7:$A$606&lt;&gt;"")*($E$7:$E$606=$E291)*($H$7:$H$606=$H291)*(ROW($A$7:$A$606)&lt;&gt;291)*($L$7:$L$606&lt;=$M291)*($M$7:$M$606&gt;=$L291))&gt;0,"⚠ Çakışma","OK")))</f>
        <v/>
      </c>
      <c r="R291" s="32" t="str">
        <f aca="false">IF($A291="","",IF(OR($N291&lt;&gt;"",$O291="⚠ Çakışma",$P291="⚠ Çakışma",$Q291="⚠ Çakışma"),"⚠ Kontrol Et","✓ Uygun"))</f>
        <v/>
      </c>
    </row>
    <row r="292" customFormat="false" ht="13.5" hidden="false" customHeight="true" outlineLevel="0" collapsed="false">
      <c r="A292" s="32" t="str">
        <f aca="false">IF('2-Gastronomi'!A89="","","Gastronomi ve Mutfak Sanatları")</f>
        <v/>
      </c>
      <c r="B292" s="32" t="str">
        <f aca="false">IF($A292="","",IF('2-Gastronomi'!A89="","",'2-Gastronomi'!A89))</f>
        <v/>
      </c>
      <c r="C292" s="33" t="str">
        <f aca="false">IF($A292="","",IF('2-Gastronomi'!B89="","",'2-Gastronomi'!B89))</f>
        <v/>
      </c>
      <c r="D292" s="32" t="str">
        <f aca="false">IF($A292="","",IF('2-Gastronomi'!C89="","",'2-Gastronomi'!C89))</f>
        <v/>
      </c>
      <c r="E292" s="32" t="str">
        <f aca="false">IF($A292="","",$A292&amp;"-"&amp;$D292)</f>
        <v/>
      </c>
      <c r="F292" s="32" t="str">
        <f aca="false">IF($A292="","",IF('2-Gastronomi'!D89="","",'2-Gastronomi'!D89))</f>
        <v/>
      </c>
      <c r="G292" s="32" t="str">
        <f aca="false">IF($A292="","",IF('2-Gastronomi'!E89="","",'2-Gastronomi'!E89))</f>
        <v/>
      </c>
      <c r="H292" s="32" t="str">
        <f aca="false">IF($A292="","",IF('2-Gastronomi'!F89="","",'2-Gastronomi'!F89))</f>
        <v/>
      </c>
      <c r="I292" s="32" t="str">
        <f aca="false">IF($A292="","",IF('2-Gastronomi'!G89="","",'2-Gastronomi'!G89))</f>
        <v/>
      </c>
      <c r="J292" s="32" t="str">
        <f aca="false">IF($A292="","",IF('2-Gastronomi'!H89="","",'2-Gastronomi'!H89))</f>
        <v/>
      </c>
      <c r="K292" s="32" t="str">
        <f aca="false">IF($A292="","",IF('2-Gastronomi'!I89="","",'2-Gastronomi'!I89))</f>
        <v/>
      </c>
      <c r="L292" s="32" t="str">
        <f aca="false">IF($I292="","",MATCH($I292,{"08.00";"09.00";"10.00";"11.00";"12.00";"13.00";"14.00";"15.00";"16.00";"17.00"},0))</f>
        <v/>
      </c>
      <c r="M292" s="32" t="str">
        <f aca="false">IF(OR($L292="",$J292=""),"",$L292+$J292-1)</f>
        <v/>
      </c>
      <c r="N292" s="32" t="str">
        <f aca="false">IF($A292="","",IF(OR($L292="",$M292=""),"",IF($M292&gt;10,"⚠ Saat Taşıyor","")))</f>
        <v/>
      </c>
      <c r="O292" s="32" t="str">
        <f aca="false">IF($A292="","",IF(OR($G292="",$H292="",$L292=""),"",IF(SUMPRODUCT(($A$7:$A$606&lt;&gt;"")*($G$7:$G$606=$G292)*($H$7:$H$606=$H292)*(ROW($A$7:$A$606)&lt;&gt;292)*($L$7:$L$606&lt;=$M292)*($M$7:$M$606&gt;=$L292))&gt;0,"⚠ Çakışma","OK")))</f>
        <v/>
      </c>
      <c r="P292" s="32" t="str">
        <f aca="false">IF($A292="","",IF(OR($K292="",$H292="",$L292=""),"",IF(SUMPRODUCT(($A$7:$A$606&lt;&gt;"")*($K$7:$K$606=$K292)*($H$7:$H$606=$H292)*(ROW($A$7:$A$606)&lt;&gt;292)*($L$7:$L$606&lt;=$M292)*($M$7:$M$606&gt;=$L292))&gt;0,"⚠ Çakışma","OK")))</f>
        <v/>
      </c>
      <c r="Q292" s="32" t="str">
        <f aca="false">IF($A292="","",IF(OR($E292="",$H292="",$L292=""),"",IF(SUMPRODUCT(($A$7:$A$606&lt;&gt;"")*($E$7:$E$606=$E292)*($H$7:$H$606=$H292)*(ROW($A$7:$A$606)&lt;&gt;292)*($L$7:$L$606&lt;=$M292)*($M$7:$M$606&gt;=$L292))&gt;0,"⚠ Çakışma","OK")))</f>
        <v/>
      </c>
      <c r="R292" s="32" t="str">
        <f aca="false">IF($A292="","",IF(OR($N292&lt;&gt;"",$O292="⚠ Çakışma",$P292="⚠ Çakışma",$Q292="⚠ Çakışma"),"⚠ Kontrol Et","✓ Uygun"))</f>
        <v/>
      </c>
    </row>
    <row r="293" customFormat="false" ht="13.5" hidden="false" customHeight="true" outlineLevel="0" collapsed="false">
      <c r="A293" s="32" t="str">
        <f aca="false">IF('2-Gastronomi'!A90="","","Gastronomi ve Mutfak Sanatları")</f>
        <v/>
      </c>
      <c r="B293" s="32" t="str">
        <f aca="false">IF($A293="","",IF('2-Gastronomi'!A90="","",'2-Gastronomi'!A90))</f>
        <v/>
      </c>
      <c r="C293" s="33" t="str">
        <f aca="false">IF($A293="","",IF('2-Gastronomi'!B90="","",'2-Gastronomi'!B90))</f>
        <v/>
      </c>
      <c r="D293" s="32" t="str">
        <f aca="false">IF($A293="","",IF('2-Gastronomi'!C90="","",'2-Gastronomi'!C90))</f>
        <v/>
      </c>
      <c r="E293" s="32" t="str">
        <f aca="false">IF($A293="","",$A293&amp;"-"&amp;$D293)</f>
        <v/>
      </c>
      <c r="F293" s="32" t="str">
        <f aca="false">IF($A293="","",IF('2-Gastronomi'!D90="","",'2-Gastronomi'!D90))</f>
        <v/>
      </c>
      <c r="G293" s="32" t="str">
        <f aca="false">IF($A293="","",IF('2-Gastronomi'!E90="","",'2-Gastronomi'!E90))</f>
        <v/>
      </c>
      <c r="H293" s="32" t="str">
        <f aca="false">IF($A293="","",IF('2-Gastronomi'!F90="","",'2-Gastronomi'!F90))</f>
        <v/>
      </c>
      <c r="I293" s="32" t="str">
        <f aca="false">IF($A293="","",IF('2-Gastronomi'!G90="","",'2-Gastronomi'!G90))</f>
        <v/>
      </c>
      <c r="J293" s="32" t="str">
        <f aca="false">IF($A293="","",IF('2-Gastronomi'!H90="","",'2-Gastronomi'!H90))</f>
        <v/>
      </c>
      <c r="K293" s="32" t="str">
        <f aca="false">IF($A293="","",IF('2-Gastronomi'!I90="","",'2-Gastronomi'!I90))</f>
        <v/>
      </c>
      <c r="L293" s="32" t="str">
        <f aca="false">IF($I293="","",MATCH($I293,{"08.00";"09.00";"10.00";"11.00";"12.00";"13.00";"14.00";"15.00";"16.00";"17.00"},0))</f>
        <v/>
      </c>
      <c r="M293" s="32" t="str">
        <f aca="false">IF(OR($L293="",$J293=""),"",$L293+$J293-1)</f>
        <v/>
      </c>
      <c r="N293" s="32" t="str">
        <f aca="false">IF($A293="","",IF(OR($L293="",$M293=""),"",IF($M293&gt;10,"⚠ Saat Taşıyor","")))</f>
        <v/>
      </c>
      <c r="O293" s="32" t="str">
        <f aca="false">IF($A293="","",IF(OR($G293="",$H293="",$L293=""),"",IF(SUMPRODUCT(($A$7:$A$606&lt;&gt;"")*($G$7:$G$606=$G293)*($H$7:$H$606=$H293)*(ROW($A$7:$A$606)&lt;&gt;293)*($L$7:$L$606&lt;=$M293)*($M$7:$M$606&gt;=$L293))&gt;0,"⚠ Çakışma","OK")))</f>
        <v/>
      </c>
      <c r="P293" s="32" t="str">
        <f aca="false">IF($A293="","",IF(OR($K293="",$H293="",$L293=""),"",IF(SUMPRODUCT(($A$7:$A$606&lt;&gt;"")*($K$7:$K$606=$K293)*($H$7:$H$606=$H293)*(ROW($A$7:$A$606)&lt;&gt;293)*($L$7:$L$606&lt;=$M293)*($M$7:$M$606&gt;=$L293))&gt;0,"⚠ Çakışma","OK")))</f>
        <v/>
      </c>
      <c r="Q293" s="32" t="str">
        <f aca="false">IF($A293="","",IF(OR($E293="",$H293="",$L293=""),"",IF(SUMPRODUCT(($A$7:$A$606&lt;&gt;"")*($E$7:$E$606=$E293)*($H$7:$H$606=$H293)*(ROW($A$7:$A$606)&lt;&gt;293)*($L$7:$L$606&lt;=$M293)*($M$7:$M$606&gt;=$L293))&gt;0,"⚠ Çakışma","OK")))</f>
        <v/>
      </c>
      <c r="R293" s="32" t="str">
        <f aca="false">IF($A293="","",IF(OR($N293&lt;&gt;"",$O293="⚠ Çakışma",$P293="⚠ Çakışma",$Q293="⚠ Çakışma"),"⚠ Kontrol Et","✓ Uygun"))</f>
        <v/>
      </c>
    </row>
    <row r="294" customFormat="false" ht="13.5" hidden="false" customHeight="true" outlineLevel="0" collapsed="false">
      <c r="A294" s="32" t="str">
        <f aca="false">IF('2-Gastronomi'!A91="","","Gastronomi ve Mutfak Sanatları")</f>
        <v/>
      </c>
      <c r="B294" s="32" t="str">
        <f aca="false">IF($A294="","",IF('2-Gastronomi'!A91="","",'2-Gastronomi'!A91))</f>
        <v/>
      </c>
      <c r="C294" s="33" t="str">
        <f aca="false">IF($A294="","",IF('2-Gastronomi'!B91="","",'2-Gastronomi'!B91))</f>
        <v/>
      </c>
      <c r="D294" s="32" t="str">
        <f aca="false">IF($A294="","",IF('2-Gastronomi'!C91="","",'2-Gastronomi'!C91))</f>
        <v/>
      </c>
      <c r="E294" s="32" t="str">
        <f aca="false">IF($A294="","",$A294&amp;"-"&amp;$D294)</f>
        <v/>
      </c>
      <c r="F294" s="32" t="str">
        <f aca="false">IF($A294="","",IF('2-Gastronomi'!D91="","",'2-Gastronomi'!D91))</f>
        <v/>
      </c>
      <c r="G294" s="32" t="str">
        <f aca="false">IF($A294="","",IF('2-Gastronomi'!E91="","",'2-Gastronomi'!E91))</f>
        <v/>
      </c>
      <c r="H294" s="32" t="str">
        <f aca="false">IF($A294="","",IF('2-Gastronomi'!F91="","",'2-Gastronomi'!F91))</f>
        <v/>
      </c>
      <c r="I294" s="32" t="str">
        <f aca="false">IF($A294="","",IF('2-Gastronomi'!G91="","",'2-Gastronomi'!G91))</f>
        <v/>
      </c>
      <c r="J294" s="32" t="str">
        <f aca="false">IF($A294="","",IF('2-Gastronomi'!H91="","",'2-Gastronomi'!H91))</f>
        <v/>
      </c>
      <c r="K294" s="32" t="str">
        <f aca="false">IF($A294="","",IF('2-Gastronomi'!I91="","",'2-Gastronomi'!I91))</f>
        <v/>
      </c>
      <c r="L294" s="32" t="str">
        <f aca="false">IF($I294="","",MATCH($I294,{"08.00";"09.00";"10.00";"11.00";"12.00";"13.00";"14.00";"15.00";"16.00";"17.00"},0))</f>
        <v/>
      </c>
      <c r="M294" s="32" t="str">
        <f aca="false">IF(OR($L294="",$J294=""),"",$L294+$J294-1)</f>
        <v/>
      </c>
      <c r="N294" s="32" t="str">
        <f aca="false">IF($A294="","",IF(OR($L294="",$M294=""),"",IF($M294&gt;10,"⚠ Saat Taşıyor","")))</f>
        <v/>
      </c>
      <c r="O294" s="32" t="str">
        <f aca="false">IF($A294="","",IF(OR($G294="",$H294="",$L294=""),"",IF(SUMPRODUCT(($A$7:$A$606&lt;&gt;"")*($G$7:$G$606=$G294)*($H$7:$H$606=$H294)*(ROW($A$7:$A$606)&lt;&gt;294)*($L$7:$L$606&lt;=$M294)*($M$7:$M$606&gt;=$L294))&gt;0,"⚠ Çakışma","OK")))</f>
        <v/>
      </c>
      <c r="P294" s="32" t="str">
        <f aca="false">IF($A294="","",IF(OR($K294="",$H294="",$L294=""),"",IF(SUMPRODUCT(($A$7:$A$606&lt;&gt;"")*($K$7:$K$606=$K294)*($H$7:$H$606=$H294)*(ROW($A$7:$A$606)&lt;&gt;294)*($L$7:$L$606&lt;=$M294)*($M$7:$M$606&gt;=$L294))&gt;0,"⚠ Çakışma","OK")))</f>
        <v/>
      </c>
      <c r="Q294" s="32" t="str">
        <f aca="false">IF($A294="","",IF(OR($E294="",$H294="",$L294=""),"",IF(SUMPRODUCT(($A$7:$A$606&lt;&gt;"")*($E$7:$E$606=$E294)*($H$7:$H$606=$H294)*(ROW($A$7:$A$606)&lt;&gt;294)*($L$7:$L$606&lt;=$M294)*($M$7:$M$606&gt;=$L294))&gt;0,"⚠ Çakışma","OK")))</f>
        <v/>
      </c>
      <c r="R294" s="32" t="str">
        <f aca="false">IF($A294="","",IF(OR($N294&lt;&gt;"",$O294="⚠ Çakışma",$P294="⚠ Çakışma",$Q294="⚠ Çakışma"),"⚠ Kontrol Et","✓ Uygun"))</f>
        <v/>
      </c>
    </row>
    <row r="295" customFormat="false" ht="13.5" hidden="false" customHeight="true" outlineLevel="0" collapsed="false">
      <c r="A295" s="32" t="str">
        <f aca="false">IF('2-Gastronomi'!A92="","","Gastronomi ve Mutfak Sanatları")</f>
        <v/>
      </c>
      <c r="B295" s="32" t="str">
        <f aca="false">IF($A295="","",IF('2-Gastronomi'!A92="","",'2-Gastronomi'!A92))</f>
        <v/>
      </c>
      <c r="C295" s="33" t="str">
        <f aca="false">IF($A295="","",IF('2-Gastronomi'!B92="","",'2-Gastronomi'!B92))</f>
        <v/>
      </c>
      <c r="D295" s="32" t="str">
        <f aca="false">IF($A295="","",IF('2-Gastronomi'!C92="","",'2-Gastronomi'!C92))</f>
        <v/>
      </c>
      <c r="E295" s="32" t="str">
        <f aca="false">IF($A295="","",$A295&amp;"-"&amp;$D295)</f>
        <v/>
      </c>
      <c r="F295" s="32" t="str">
        <f aca="false">IF($A295="","",IF('2-Gastronomi'!D92="","",'2-Gastronomi'!D92))</f>
        <v/>
      </c>
      <c r="G295" s="32" t="str">
        <f aca="false">IF($A295="","",IF('2-Gastronomi'!E92="","",'2-Gastronomi'!E92))</f>
        <v/>
      </c>
      <c r="H295" s="32" t="str">
        <f aca="false">IF($A295="","",IF('2-Gastronomi'!F92="","",'2-Gastronomi'!F92))</f>
        <v/>
      </c>
      <c r="I295" s="32" t="str">
        <f aca="false">IF($A295="","",IF('2-Gastronomi'!G92="","",'2-Gastronomi'!G92))</f>
        <v/>
      </c>
      <c r="J295" s="32" t="str">
        <f aca="false">IF($A295="","",IF('2-Gastronomi'!H92="","",'2-Gastronomi'!H92))</f>
        <v/>
      </c>
      <c r="K295" s="32" t="str">
        <f aca="false">IF($A295="","",IF('2-Gastronomi'!I92="","",'2-Gastronomi'!I92))</f>
        <v/>
      </c>
      <c r="L295" s="32" t="str">
        <f aca="false">IF($I295="","",MATCH($I295,{"08.00";"09.00";"10.00";"11.00";"12.00";"13.00";"14.00";"15.00";"16.00";"17.00"},0))</f>
        <v/>
      </c>
      <c r="M295" s="32" t="str">
        <f aca="false">IF(OR($L295="",$J295=""),"",$L295+$J295-1)</f>
        <v/>
      </c>
      <c r="N295" s="32" t="str">
        <f aca="false">IF($A295="","",IF(OR($L295="",$M295=""),"",IF($M295&gt;10,"⚠ Saat Taşıyor","")))</f>
        <v/>
      </c>
      <c r="O295" s="32" t="str">
        <f aca="false">IF($A295="","",IF(OR($G295="",$H295="",$L295=""),"",IF(SUMPRODUCT(($A$7:$A$606&lt;&gt;"")*($G$7:$G$606=$G295)*($H$7:$H$606=$H295)*(ROW($A$7:$A$606)&lt;&gt;295)*($L$7:$L$606&lt;=$M295)*($M$7:$M$606&gt;=$L295))&gt;0,"⚠ Çakışma","OK")))</f>
        <v/>
      </c>
      <c r="P295" s="32" t="str">
        <f aca="false">IF($A295="","",IF(OR($K295="",$H295="",$L295=""),"",IF(SUMPRODUCT(($A$7:$A$606&lt;&gt;"")*($K$7:$K$606=$K295)*($H$7:$H$606=$H295)*(ROW($A$7:$A$606)&lt;&gt;295)*($L$7:$L$606&lt;=$M295)*($M$7:$M$606&gt;=$L295))&gt;0,"⚠ Çakışma","OK")))</f>
        <v/>
      </c>
      <c r="Q295" s="32" t="str">
        <f aca="false">IF($A295="","",IF(OR($E295="",$H295="",$L295=""),"",IF(SUMPRODUCT(($A$7:$A$606&lt;&gt;"")*($E$7:$E$606=$E295)*($H$7:$H$606=$H295)*(ROW($A$7:$A$606)&lt;&gt;295)*($L$7:$L$606&lt;=$M295)*($M$7:$M$606&gt;=$L295))&gt;0,"⚠ Çakışma","OK")))</f>
        <v/>
      </c>
      <c r="R295" s="32" t="str">
        <f aca="false">IF($A295="","",IF(OR($N295&lt;&gt;"",$O295="⚠ Çakışma",$P295="⚠ Çakışma",$Q295="⚠ Çakışma"),"⚠ Kontrol Et","✓ Uygun"))</f>
        <v/>
      </c>
    </row>
    <row r="296" customFormat="false" ht="13.5" hidden="false" customHeight="true" outlineLevel="0" collapsed="false">
      <c r="A296" s="32" t="str">
        <f aca="false">IF('2-Gastronomi'!A93="","","Gastronomi ve Mutfak Sanatları")</f>
        <v/>
      </c>
      <c r="B296" s="32" t="str">
        <f aca="false">IF($A296="","",IF('2-Gastronomi'!A93="","",'2-Gastronomi'!A93))</f>
        <v/>
      </c>
      <c r="C296" s="33" t="str">
        <f aca="false">IF($A296="","",IF('2-Gastronomi'!B93="","",'2-Gastronomi'!B93))</f>
        <v/>
      </c>
      <c r="D296" s="32" t="str">
        <f aca="false">IF($A296="","",IF('2-Gastronomi'!C93="","",'2-Gastronomi'!C93))</f>
        <v/>
      </c>
      <c r="E296" s="32" t="str">
        <f aca="false">IF($A296="","",$A296&amp;"-"&amp;$D296)</f>
        <v/>
      </c>
      <c r="F296" s="32" t="str">
        <f aca="false">IF($A296="","",IF('2-Gastronomi'!D93="","",'2-Gastronomi'!D93))</f>
        <v/>
      </c>
      <c r="G296" s="32" t="str">
        <f aca="false">IF($A296="","",IF('2-Gastronomi'!E93="","",'2-Gastronomi'!E93))</f>
        <v/>
      </c>
      <c r="H296" s="32" t="str">
        <f aca="false">IF($A296="","",IF('2-Gastronomi'!F93="","",'2-Gastronomi'!F93))</f>
        <v/>
      </c>
      <c r="I296" s="32" t="str">
        <f aca="false">IF($A296="","",IF('2-Gastronomi'!G93="","",'2-Gastronomi'!G93))</f>
        <v/>
      </c>
      <c r="J296" s="32" t="str">
        <f aca="false">IF($A296="","",IF('2-Gastronomi'!H93="","",'2-Gastronomi'!H93))</f>
        <v/>
      </c>
      <c r="K296" s="32" t="str">
        <f aca="false">IF($A296="","",IF('2-Gastronomi'!I93="","",'2-Gastronomi'!I93))</f>
        <v/>
      </c>
      <c r="L296" s="32" t="str">
        <f aca="false">IF($I296="","",MATCH($I296,{"08.00";"09.00";"10.00";"11.00";"12.00";"13.00";"14.00";"15.00";"16.00";"17.00"},0))</f>
        <v/>
      </c>
      <c r="M296" s="32" t="str">
        <f aca="false">IF(OR($L296="",$J296=""),"",$L296+$J296-1)</f>
        <v/>
      </c>
      <c r="N296" s="32" t="str">
        <f aca="false">IF($A296="","",IF(OR($L296="",$M296=""),"",IF($M296&gt;10,"⚠ Saat Taşıyor","")))</f>
        <v/>
      </c>
      <c r="O296" s="32" t="str">
        <f aca="false">IF($A296="","",IF(OR($G296="",$H296="",$L296=""),"",IF(SUMPRODUCT(($A$7:$A$606&lt;&gt;"")*($G$7:$G$606=$G296)*($H$7:$H$606=$H296)*(ROW($A$7:$A$606)&lt;&gt;296)*($L$7:$L$606&lt;=$M296)*($M$7:$M$606&gt;=$L296))&gt;0,"⚠ Çakışma","OK")))</f>
        <v/>
      </c>
      <c r="P296" s="32" t="str">
        <f aca="false">IF($A296="","",IF(OR($K296="",$H296="",$L296=""),"",IF(SUMPRODUCT(($A$7:$A$606&lt;&gt;"")*($K$7:$K$606=$K296)*($H$7:$H$606=$H296)*(ROW($A$7:$A$606)&lt;&gt;296)*($L$7:$L$606&lt;=$M296)*($M$7:$M$606&gt;=$L296))&gt;0,"⚠ Çakışma","OK")))</f>
        <v/>
      </c>
      <c r="Q296" s="32" t="str">
        <f aca="false">IF($A296="","",IF(OR($E296="",$H296="",$L296=""),"",IF(SUMPRODUCT(($A$7:$A$606&lt;&gt;"")*($E$7:$E$606=$E296)*($H$7:$H$606=$H296)*(ROW($A$7:$A$606)&lt;&gt;296)*($L$7:$L$606&lt;=$M296)*($M$7:$M$606&gt;=$L296))&gt;0,"⚠ Çakışma","OK")))</f>
        <v/>
      </c>
      <c r="R296" s="32" t="str">
        <f aca="false">IF($A296="","",IF(OR($N296&lt;&gt;"",$O296="⚠ Çakışma",$P296="⚠ Çakışma",$Q296="⚠ Çakışma"),"⚠ Kontrol Et","✓ Uygun"))</f>
        <v/>
      </c>
    </row>
    <row r="297" customFormat="false" ht="13.5" hidden="false" customHeight="true" outlineLevel="0" collapsed="false">
      <c r="A297" s="32" t="str">
        <f aca="false">IF('2-Gastronomi'!A94="","","Gastronomi ve Mutfak Sanatları")</f>
        <v/>
      </c>
      <c r="B297" s="32" t="str">
        <f aca="false">IF($A297="","",IF('2-Gastronomi'!A94="","",'2-Gastronomi'!A94))</f>
        <v/>
      </c>
      <c r="C297" s="33" t="str">
        <f aca="false">IF($A297="","",IF('2-Gastronomi'!B94="","",'2-Gastronomi'!B94))</f>
        <v/>
      </c>
      <c r="D297" s="32" t="str">
        <f aca="false">IF($A297="","",IF('2-Gastronomi'!C94="","",'2-Gastronomi'!C94))</f>
        <v/>
      </c>
      <c r="E297" s="32" t="str">
        <f aca="false">IF($A297="","",$A297&amp;"-"&amp;$D297)</f>
        <v/>
      </c>
      <c r="F297" s="32" t="str">
        <f aca="false">IF($A297="","",IF('2-Gastronomi'!D94="","",'2-Gastronomi'!D94))</f>
        <v/>
      </c>
      <c r="G297" s="32" t="str">
        <f aca="false">IF($A297="","",IF('2-Gastronomi'!E94="","",'2-Gastronomi'!E94))</f>
        <v/>
      </c>
      <c r="H297" s="32" t="str">
        <f aca="false">IF($A297="","",IF('2-Gastronomi'!F94="","",'2-Gastronomi'!F94))</f>
        <v/>
      </c>
      <c r="I297" s="32" t="str">
        <f aca="false">IF($A297="","",IF('2-Gastronomi'!G94="","",'2-Gastronomi'!G94))</f>
        <v/>
      </c>
      <c r="J297" s="32" t="str">
        <f aca="false">IF($A297="","",IF('2-Gastronomi'!H94="","",'2-Gastronomi'!H94))</f>
        <v/>
      </c>
      <c r="K297" s="32" t="str">
        <f aca="false">IF($A297="","",IF('2-Gastronomi'!I94="","",'2-Gastronomi'!I94))</f>
        <v/>
      </c>
      <c r="L297" s="32" t="str">
        <f aca="false">IF($I297="","",MATCH($I297,{"08.00";"09.00";"10.00";"11.00";"12.00";"13.00";"14.00";"15.00";"16.00";"17.00"},0))</f>
        <v/>
      </c>
      <c r="M297" s="32" t="str">
        <f aca="false">IF(OR($L297="",$J297=""),"",$L297+$J297-1)</f>
        <v/>
      </c>
      <c r="N297" s="32" t="str">
        <f aca="false">IF($A297="","",IF(OR($L297="",$M297=""),"",IF($M297&gt;10,"⚠ Saat Taşıyor","")))</f>
        <v/>
      </c>
      <c r="O297" s="32" t="str">
        <f aca="false">IF($A297="","",IF(OR($G297="",$H297="",$L297=""),"",IF(SUMPRODUCT(($A$7:$A$606&lt;&gt;"")*($G$7:$G$606=$G297)*($H$7:$H$606=$H297)*(ROW($A$7:$A$606)&lt;&gt;297)*($L$7:$L$606&lt;=$M297)*($M$7:$M$606&gt;=$L297))&gt;0,"⚠ Çakışma","OK")))</f>
        <v/>
      </c>
      <c r="P297" s="32" t="str">
        <f aca="false">IF($A297="","",IF(OR($K297="",$H297="",$L297=""),"",IF(SUMPRODUCT(($A$7:$A$606&lt;&gt;"")*($K$7:$K$606=$K297)*($H$7:$H$606=$H297)*(ROW($A$7:$A$606)&lt;&gt;297)*($L$7:$L$606&lt;=$M297)*($M$7:$M$606&gt;=$L297))&gt;0,"⚠ Çakışma","OK")))</f>
        <v/>
      </c>
      <c r="Q297" s="32" t="str">
        <f aca="false">IF($A297="","",IF(OR($E297="",$H297="",$L297=""),"",IF(SUMPRODUCT(($A$7:$A$606&lt;&gt;"")*($E$7:$E$606=$E297)*($H$7:$H$606=$H297)*(ROW($A$7:$A$606)&lt;&gt;297)*($L$7:$L$606&lt;=$M297)*($M$7:$M$606&gt;=$L297))&gt;0,"⚠ Çakışma","OK")))</f>
        <v/>
      </c>
      <c r="R297" s="32" t="str">
        <f aca="false">IF($A297="","",IF(OR($N297&lt;&gt;"",$O297="⚠ Çakışma",$P297="⚠ Çakışma",$Q297="⚠ Çakışma"),"⚠ Kontrol Et","✓ Uygun"))</f>
        <v/>
      </c>
    </row>
    <row r="298" customFormat="false" ht="13.5" hidden="false" customHeight="true" outlineLevel="0" collapsed="false">
      <c r="A298" s="32" t="str">
        <f aca="false">IF('2-Gastronomi'!A95="","","Gastronomi ve Mutfak Sanatları")</f>
        <v/>
      </c>
      <c r="B298" s="32" t="str">
        <f aca="false">IF($A298="","",IF('2-Gastronomi'!A95="","",'2-Gastronomi'!A95))</f>
        <v/>
      </c>
      <c r="C298" s="33" t="str">
        <f aca="false">IF($A298="","",IF('2-Gastronomi'!B95="","",'2-Gastronomi'!B95))</f>
        <v/>
      </c>
      <c r="D298" s="32" t="str">
        <f aca="false">IF($A298="","",IF('2-Gastronomi'!C95="","",'2-Gastronomi'!C95))</f>
        <v/>
      </c>
      <c r="E298" s="32" t="str">
        <f aca="false">IF($A298="","",$A298&amp;"-"&amp;$D298)</f>
        <v/>
      </c>
      <c r="F298" s="32" t="str">
        <f aca="false">IF($A298="","",IF('2-Gastronomi'!D95="","",'2-Gastronomi'!D95))</f>
        <v/>
      </c>
      <c r="G298" s="32" t="str">
        <f aca="false">IF($A298="","",IF('2-Gastronomi'!E95="","",'2-Gastronomi'!E95))</f>
        <v/>
      </c>
      <c r="H298" s="32" t="str">
        <f aca="false">IF($A298="","",IF('2-Gastronomi'!F95="","",'2-Gastronomi'!F95))</f>
        <v/>
      </c>
      <c r="I298" s="32" t="str">
        <f aca="false">IF($A298="","",IF('2-Gastronomi'!G95="","",'2-Gastronomi'!G95))</f>
        <v/>
      </c>
      <c r="J298" s="32" t="str">
        <f aca="false">IF($A298="","",IF('2-Gastronomi'!H95="","",'2-Gastronomi'!H95))</f>
        <v/>
      </c>
      <c r="K298" s="32" t="str">
        <f aca="false">IF($A298="","",IF('2-Gastronomi'!I95="","",'2-Gastronomi'!I95))</f>
        <v/>
      </c>
      <c r="L298" s="32" t="str">
        <f aca="false">IF($I298="","",MATCH($I298,{"08.00";"09.00";"10.00";"11.00";"12.00";"13.00";"14.00";"15.00";"16.00";"17.00"},0))</f>
        <v/>
      </c>
      <c r="M298" s="32" t="str">
        <f aca="false">IF(OR($L298="",$J298=""),"",$L298+$J298-1)</f>
        <v/>
      </c>
      <c r="N298" s="32" t="str">
        <f aca="false">IF($A298="","",IF(OR($L298="",$M298=""),"",IF($M298&gt;10,"⚠ Saat Taşıyor","")))</f>
        <v/>
      </c>
      <c r="O298" s="32" t="str">
        <f aca="false">IF($A298="","",IF(OR($G298="",$H298="",$L298=""),"",IF(SUMPRODUCT(($A$7:$A$606&lt;&gt;"")*($G$7:$G$606=$G298)*($H$7:$H$606=$H298)*(ROW($A$7:$A$606)&lt;&gt;298)*($L$7:$L$606&lt;=$M298)*($M$7:$M$606&gt;=$L298))&gt;0,"⚠ Çakışma","OK")))</f>
        <v/>
      </c>
      <c r="P298" s="32" t="str">
        <f aca="false">IF($A298="","",IF(OR($K298="",$H298="",$L298=""),"",IF(SUMPRODUCT(($A$7:$A$606&lt;&gt;"")*($K$7:$K$606=$K298)*($H$7:$H$606=$H298)*(ROW($A$7:$A$606)&lt;&gt;298)*($L$7:$L$606&lt;=$M298)*($M$7:$M$606&gt;=$L298))&gt;0,"⚠ Çakışma","OK")))</f>
        <v/>
      </c>
      <c r="Q298" s="32" t="str">
        <f aca="false">IF($A298="","",IF(OR($E298="",$H298="",$L298=""),"",IF(SUMPRODUCT(($A$7:$A$606&lt;&gt;"")*($E$7:$E$606=$E298)*($H$7:$H$606=$H298)*(ROW($A$7:$A$606)&lt;&gt;298)*($L$7:$L$606&lt;=$M298)*($M$7:$M$606&gt;=$L298))&gt;0,"⚠ Çakışma","OK")))</f>
        <v/>
      </c>
      <c r="R298" s="32" t="str">
        <f aca="false">IF($A298="","",IF(OR($N298&lt;&gt;"",$O298="⚠ Çakışma",$P298="⚠ Çakışma",$Q298="⚠ Çakışma"),"⚠ Kontrol Et","✓ Uygun"))</f>
        <v/>
      </c>
    </row>
    <row r="299" customFormat="false" ht="13.5" hidden="false" customHeight="true" outlineLevel="0" collapsed="false">
      <c r="A299" s="32" t="str">
        <f aca="false">IF('2-Gastronomi'!A96="","","Gastronomi ve Mutfak Sanatları")</f>
        <v/>
      </c>
      <c r="B299" s="32" t="str">
        <f aca="false">IF($A299="","",IF('2-Gastronomi'!A96="","",'2-Gastronomi'!A96))</f>
        <v/>
      </c>
      <c r="C299" s="33" t="str">
        <f aca="false">IF($A299="","",IF('2-Gastronomi'!B96="","",'2-Gastronomi'!B96))</f>
        <v/>
      </c>
      <c r="D299" s="32" t="str">
        <f aca="false">IF($A299="","",IF('2-Gastronomi'!C96="","",'2-Gastronomi'!C96))</f>
        <v/>
      </c>
      <c r="E299" s="32" t="str">
        <f aca="false">IF($A299="","",$A299&amp;"-"&amp;$D299)</f>
        <v/>
      </c>
      <c r="F299" s="32" t="str">
        <f aca="false">IF($A299="","",IF('2-Gastronomi'!D96="","",'2-Gastronomi'!D96))</f>
        <v/>
      </c>
      <c r="G299" s="32" t="str">
        <f aca="false">IF($A299="","",IF('2-Gastronomi'!E96="","",'2-Gastronomi'!E96))</f>
        <v/>
      </c>
      <c r="H299" s="32" t="str">
        <f aca="false">IF($A299="","",IF('2-Gastronomi'!F96="","",'2-Gastronomi'!F96))</f>
        <v/>
      </c>
      <c r="I299" s="32" t="str">
        <f aca="false">IF($A299="","",IF('2-Gastronomi'!G96="","",'2-Gastronomi'!G96))</f>
        <v/>
      </c>
      <c r="J299" s="32" t="str">
        <f aca="false">IF($A299="","",IF('2-Gastronomi'!H96="","",'2-Gastronomi'!H96))</f>
        <v/>
      </c>
      <c r="K299" s="32" t="str">
        <f aca="false">IF($A299="","",IF('2-Gastronomi'!I96="","",'2-Gastronomi'!I96))</f>
        <v/>
      </c>
      <c r="L299" s="32" t="str">
        <f aca="false">IF($I299="","",MATCH($I299,{"08.00";"09.00";"10.00";"11.00";"12.00";"13.00";"14.00";"15.00";"16.00";"17.00"},0))</f>
        <v/>
      </c>
      <c r="M299" s="32" t="str">
        <f aca="false">IF(OR($L299="",$J299=""),"",$L299+$J299-1)</f>
        <v/>
      </c>
      <c r="N299" s="32" t="str">
        <f aca="false">IF($A299="","",IF(OR($L299="",$M299=""),"",IF($M299&gt;10,"⚠ Saat Taşıyor","")))</f>
        <v/>
      </c>
      <c r="O299" s="32" t="str">
        <f aca="false">IF($A299="","",IF(OR($G299="",$H299="",$L299=""),"",IF(SUMPRODUCT(($A$7:$A$606&lt;&gt;"")*($G$7:$G$606=$G299)*($H$7:$H$606=$H299)*(ROW($A$7:$A$606)&lt;&gt;299)*($L$7:$L$606&lt;=$M299)*($M$7:$M$606&gt;=$L299))&gt;0,"⚠ Çakışma","OK")))</f>
        <v/>
      </c>
      <c r="P299" s="32" t="str">
        <f aca="false">IF($A299="","",IF(OR($K299="",$H299="",$L299=""),"",IF(SUMPRODUCT(($A$7:$A$606&lt;&gt;"")*($K$7:$K$606=$K299)*($H$7:$H$606=$H299)*(ROW($A$7:$A$606)&lt;&gt;299)*($L$7:$L$606&lt;=$M299)*($M$7:$M$606&gt;=$L299))&gt;0,"⚠ Çakışma","OK")))</f>
        <v/>
      </c>
      <c r="Q299" s="32" t="str">
        <f aca="false">IF($A299="","",IF(OR($E299="",$H299="",$L299=""),"",IF(SUMPRODUCT(($A$7:$A$606&lt;&gt;"")*($E$7:$E$606=$E299)*($H$7:$H$606=$H299)*(ROW($A$7:$A$606)&lt;&gt;299)*($L$7:$L$606&lt;=$M299)*($M$7:$M$606&gt;=$L299))&gt;0,"⚠ Çakışma","OK")))</f>
        <v/>
      </c>
      <c r="R299" s="32" t="str">
        <f aca="false">IF($A299="","",IF(OR($N299&lt;&gt;"",$O299="⚠ Çakışma",$P299="⚠ Çakışma",$Q299="⚠ Çakışma"),"⚠ Kontrol Et","✓ Uygun"))</f>
        <v/>
      </c>
    </row>
    <row r="300" customFormat="false" ht="13.5" hidden="false" customHeight="true" outlineLevel="0" collapsed="false">
      <c r="A300" s="32" t="str">
        <f aca="false">IF('2-Gastronomi'!A97="","","Gastronomi ve Mutfak Sanatları")</f>
        <v/>
      </c>
      <c r="B300" s="32" t="str">
        <f aca="false">IF($A300="","",IF('2-Gastronomi'!A97="","",'2-Gastronomi'!A97))</f>
        <v/>
      </c>
      <c r="C300" s="33" t="str">
        <f aca="false">IF($A300="","",IF('2-Gastronomi'!B97="","",'2-Gastronomi'!B97))</f>
        <v/>
      </c>
      <c r="D300" s="32" t="str">
        <f aca="false">IF($A300="","",IF('2-Gastronomi'!C97="","",'2-Gastronomi'!C97))</f>
        <v/>
      </c>
      <c r="E300" s="32" t="str">
        <f aca="false">IF($A300="","",$A300&amp;"-"&amp;$D300)</f>
        <v/>
      </c>
      <c r="F300" s="32" t="str">
        <f aca="false">IF($A300="","",IF('2-Gastronomi'!D97="","",'2-Gastronomi'!D97))</f>
        <v/>
      </c>
      <c r="G300" s="32" t="str">
        <f aca="false">IF($A300="","",IF('2-Gastronomi'!E97="","",'2-Gastronomi'!E97))</f>
        <v/>
      </c>
      <c r="H300" s="32" t="str">
        <f aca="false">IF($A300="","",IF('2-Gastronomi'!F97="","",'2-Gastronomi'!F97))</f>
        <v/>
      </c>
      <c r="I300" s="32" t="str">
        <f aca="false">IF($A300="","",IF('2-Gastronomi'!G97="","",'2-Gastronomi'!G97))</f>
        <v/>
      </c>
      <c r="J300" s="32" t="str">
        <f aca="false">IF($A300="","",IF('2-Gastronomi'!H97="","",'2-Gastronomi'!H97))</f>
        <v/>
      </c>
      <c r="K300" s="32" t="str">
        <f aca="false">IF($A300="","",IF('2-Gastronomi'!I97="","",'2-Gastronomi'!I97))</f>
        <v/>
      </c>
      <c r="L300" s="32" t="str">
        <f aca="false">IF($I300="","",MATCH($I300,{"08.00";"09.00";"10.00";"11.00";"12.00";"13.00";"14.00";"15.00";"16.00";"17.00"},0))</f>
        <v/>
      </c>
      <c r="M300" s="32" t="str">
        <f aca="false">IF(OR($L300="",$J300=""),"",$L300+$J300-1)</f>
        <v/>
      </c>
      <c r="N300" s="32" t="str">
        <f aca="false">IF($A300="","",IF(OR($L300="",$M300=""),"",IF($M300&gt;10,"⚠ Saat Taşıyor","")))</f>
        <v/>
      </c>
      <c r="O300" s="32" t="str">
        <f aca="false">IF($A300="","",IF(OR($G300="",$H300="",$L300=""),"",IF(SUMPRODUCT(($A$7:$A$606&lt;&gt;"")*($G$7:$G$606=$G300)*($H$7:$H$606=$H300)*(ROW($A$7:$A$606)&lt;&gt;300)*($L$7:$L$606&lt;=$M300)*($M$7:$M$606&gt;=$L300))&gt;0,"⚠ Çakışma","OK")))</f>
        <v/>
      </c>
      <c r="P300" s="32" t="str">
        <f aca="false">IF($A300="","",IF(OR($K300="",$H300="",$L300=""),"",IF(SUMPRODUCT(($A$7:$A$606&lt;&gt;"")*($K$7:$K$606=$K300)*($H$7:$H$606=$H300)*(ROW($A$7:$A$606)&lt;&gt;300)*($L$7:$L$606&lt;=$M300)*($M$7:$M$606&gt;=$L300))&gt;0,"⚠ Çakışma","OK")))</f>
        <v/>
      </c>
      <c r="Q300" s="32" t="str">
        <f aca="false">IF($A300="","",IF(OR($E300="",$H300="",$L300=""),"",IF(SUMPRODUCT(($A$7:$A$606&lt;&gt;"")*($E$7:$E$606=$E300)*($H$7:$H$606=$H300)*(ROW($A$7:$A$606)&lt;&gt;300)*($L$7:$L$606&lt;=$M300)*($M$7:$M$606&gt;=$L300))&gt;0,"⚠ Çakışma","OK")))</f>
        <v/>
      </c>
      <c r="R300" s="32" t="str">
        <f aca="false">IF($A300="","",IF(OR($N300&lt;&gt;"",$O300="⚠ Çakışma",$P300="⚠ Çakışma",$Q300="⚠ Çakışma"),"⚠ Kontrol Et","✓ Uygun"))</f>
        <v/>
      </c>
    </row>
    <row r="301" customFormat="false" ht="13.5" hidden="false" customHeight="true" outlineLevel="0" collapsed="false">
      <c r="A301" s="32" t="str">
        <f aca="false">IF('2-Gastronomi'!A98="","","Gastronomi ve Mutfak Sanatları")</f>
        <v/>
      </c>
      <c r="B301" s="32" t="str">
        <f aca="false">IF($A301="","",IF('2-Gastronomi'!A98="","",'2-Gastronomi'!A98))</f>
        <v/>
      </c>
      <c r="C301" s="33" t="str">
        <f aca="false">IF($A301="","",IF('2-Gastronomi'!B98="","",'2-Gastronomi'!B98))</f>
        <v/>
      </c>
      <c r="D301" s="32" t="str">
        <f aca="false">IF($A301="","",IF('2-Gastronomi'!C98="","",'2-Gastronomi'!C98))</f>
        <v/>
      </c>
      <c r="E301" s="32" t="str">
        <f aca="false">IF($A301="","",$A301&amp;"-"&amp;$D301)</f>
        <v/>
      </c>
      <c r="F301" s="32" t="str">
        <f aca="false">IF($A301="","",IF('2-Gastronomi'!D98="","",'2-Gastronomi'!D98))</f>
        <v/>
      </c>
      <c r="G301" s="32" t="str">
        <f aca="false">IF($A301="","",IF('2-Gastronomi'!E98="","",'2-Gastronomi'!E98))</f>
        <v/>
      </c>
      <c r="H301" s="32" t="str">
        <f aca="false">IF($A301="","",IF('2-Gastronomi'!F98="","",'2-Gastronomi'!F98))</f>
        <v/>
      </c>
      <c r="I301" s="32" t="str">
        <f aca="false">IF($A301="","",IF('2-Gastronomi'!G98="","",'2-Gastronomi'!G98))</f>
        <v/>
      </c>
      <c r="J301" s="32" t="str">
        <f aca="false">IF($A301="","",IF('2-Gastronomi'!H98="","",'2-Gastronomi'!H98))</f>
        <v/>
      </c>
      <c r="K301" s="32" t="str">
        <f aca="false">IF($A301="","",IF('2-Gastronomi'!I98="","",'2-Gastronomi'!I98))</f>
        <v/>
      </c>
      <c r="L301" s="32" t="str">
        <f aca="false">IF($I301="","",MATCH($I301,{"08.00";"09.00";"10.00";"11.00";"12.00";"13.00";"14.00";"15.00";"16.00";"17.00"},0))</f>
        <v/>
      </c>
      <c r="M301" s="32" t="str">
        <f aca="false">IF(OR($L301="",$J301=""),"",$L301+$J301-1)</f>
        <v/>
      </c>
      <c r="N301" s="32" t="str">
        <f aca="false">IF($A301="","",IF(OR($L301="",$M301=""),"",IF($M301&gt;10,"⚠ Saat Taşıyor","")))</f>
        <v/>
      </c>
      <c r="O301" s="32" t="str">
        <f aca="false">IF($A301="","",IF(OR($G301="",$H301="",$L301=""),"",IF(SUMPRODUCT(($A$7:$A$606&lt;&gt;"")*($G$7:$G$606=$G301)*($H$7:$H$606=$H301)*(ROW($A$7:$A$606)&lt;&gt;301)*($L$7:$L$606&lt;=$M301)*($M$7:$M$606&gt;=$L301))&gt;0,"⚠ Çakışma","OK")))</f>
        <v/>
      </c>
      <c r="P301" s="32" t="str">
        <f aca="false">IF($A301="","",IF(OR($K301="",$H301="",$L301=""),"",IF(SUMPRODUCT(($A$7:$A$606&lt;&gt;"")*($K$7:$K$606=$K301)*($H$7:$H$606=$H301)*(ROW($A$7:$A$606)&lt;&gt;301)*($L$7:$L$606&lt;=$M301)*($M$7:$M$606&gt;=$L301))&gt;0,"⚠ Çakışma","OK")))</f>
        <v/>
      </c>
      <c r="Q301" s="32" t="str">
        <f aca="false">IF($A301="","",IF(OR($E301="",$H301="",$L301=""),"",IF(SUMPRODUCT(($A$7:$A$606&lt;&gt;"")*($E$7:$E$606=$E301)*($H$7:$H$606=$H301)*(ROW($A$7:$A$606)&lt;&gt;301)*($L$7:$L$606&lt;=$M301)*($M$7:$M$606&gt;=$L301))&gt;0,"⚠ Çakışma","OK")))</f>
        <v/>
      </c>
      <c r="R301" s="32" t="str">
        <f aca="false">IF($A301="","",IF(OR($N301&lt;&gt;"",$O301="⚠ Çakışma",$P301="⚠ Çakışma",$Q301="⚠ Çakışma"),"⚠ Kontrol Et","✓ Uygun"))</f>
        <v/>
      </c>
    </row>
    <row r="302" customFormat="false" ht="13.5" hidden="false" customHeight="true" outlineLevel="0" collapsed="false">
      <c r="A302" s="32" t="str">
        <f aca="false">IF('2-Gastronomi'!A99="","","Gastronomi ve Mutfak Sanatları")</f>
        <v/>
      </c>
      <c r="B302" s="32" t="str">
        <f aca="false">IF($A302="","",IF('2-Gastronomi'!A99="","",'2-Gastronomi'!A99))</f>
        <v/>
      </c>
      <c r="C302" s="33" t="str">
        <f aca="false">IF($A302="","",IF('2-Gastronomi'!B99="","",'2-Gastronomi'!B99))</f>
        <v/>
      </c>
      <c r="D302" s="32" t="str">
        <f aca="false">IF($A302="","",IF('2-Gastronomi'!C99="","",'2-Gastronomi'!C99))</f>
        <v/>
      </c>
      <c r="E302" s="32" t="str">
        <f aca="false">IF($A302="","",$A302&amp;"-"&amp;$D302)</f>
        <v/>
      </c>
      <c r="F302" s="32" t="str">
        <f aca="false">IF($A302="","",IF('2-Gastronomi'!D99="","",'2-Gastronomi'!D99))</f>
        <v/>
      </c>
      <c r="G302" s="32" t="str">
        <f aca="false">IF($A302="","",IF('2-Gastronomi'!E99="","",'2-Gastronomi'!E99))</f>
        <v/>
      </c>
      <c r="H302" s="32" t="str">
        <f aca="false">IF($A302="","",IF('2-Gastronomi'!F99="","",'2-Gastronomi'!F99))</f>
        <v/>
      </c>
      <c r="I302" s="32" t="str">
        <f aca="false">IF($A302="","",IF('2-Gastronomi'!G99="","",'2-Gastronomi'!G99))</f>
        <v/>
      </c>
      <c r="J302" s="32" t="str">
        <f aca="false">IF($A302="","",IF('2-Gastronomi'!H99="","",'2-Gastronomi'!H99))</f>
        <v/>
      </c>
      <c r="K302" s="32" t="str">
        <f aca="false">IF($A302="","",IF('2-Gastronomi'!I99="","",'2-Gastronomi'!I99))</f>
        <v/>
      </c>
      <c r="L302" s="32" t="str">
        <f aca="false">IF($I302="","",MATCH($I302,{"08.00";"09.00";"10.00";"11.00";"12.00";"13.00";"14.00";"15.00";"16.00";"17.00"},0))</f>
        <v/>
      </c>
      <c r="M302" s="32" t="str">
        <f aca="false">IF(OR($L302="",$J302=""),"",$L302+$J302-1)</f>
        <v/>
      </c>
      <c r="N302" s="32" t="str">
        <f aca="false">IF($A302="","",IF(OR($L302="",$M302=""),"",IF($M302&gt;10,"⚠ Saat Taşıyor","")))</f>
        <v/>
      </c>
      <c r="O302" s="32" t="str">
        <f aca="false">IF($A302="","",IF(OR($G302="",$H302="",$L302=""),"",IF(SUMPRODUCT(($A$7:$A$606&lt;&gt;"")*($G$7:$G$606=$G302)*($H$7:$H$606=$H302)*(ROW($A$7:$A$606)&lt;&gt;302)*($L$7:$L$606&lt;=$M302)*($M$7:$M$606&gt;=$L302))&gt;0,"⚠ Çakışma","OK")))</f>
        <v/>
      </c>
      <c r="P302" s="32" t="str">
        <f aca="false">IF($A302="","",IF(OR($K302="",$H302="",$L302=""),"",IF(SUMPRODUCT(($A$7:$A$606&lt;&gt;"")*($K$7:$K$606=$K302)*($H$7:$H$606=$H302)*(ROW($A$7:$A$606)&lt;&gt;302)*($L$7:$L$606&lt;=$M302)*($M$7:$M$606&gt;=$L302))&gt;0,"⚠ Çakışma","OK")))</f>
        <v/>
      </c>
      <c r="Q302" s="32" t="str">
        <f aca="false">IF($A302="","",IF(OR($E302="",$H302="",$L302=""),"",IF(SUMPRODUCT(($A$7:$A$606&lt;&gt;"")*($E$7:$E$606=$E302)*($H$7:$H$606=$H302)*(ROW($A$7:$A$606)&lt;&gt;302)*($L$7:$L$606&lt;=$M302)*($M$7:$M$606&gt;=$L302))&gt;0,"⚠ Çakışma","OK")))</f>
        <v/>
      </c>
      <c r="R302" s="32" t="str">
        <f aca="false">IF($A302="","",IF(OR($N302&lt;&gt;"",$O302="⚠ Çakışma",$P302="⚠ Çakışma",$Q302="⚠ Çakışma"),"⚠ Kontrol Et","✓ Uygun"))</f>
        <v/>
      </c>
    </row>
    <row r="303" customFormat="false" ht="13.5" hidden="false" customHeight="true" outlineLevel="0" collapsed="false">
      <c r="A303" s="32" t="str">
        <f aca="false">IF('2-Gastronomi'!A100="","","Gastronomi ve Mutfak Sanatları")</f>
        <v/>
      </c>
      <c r="B303" s="32" t="str">
        <f aca="false">IF($A303="","",IF('2-Gastronomi'!A100="","",'2-Gastronomi'!A100))</f>
        <v/>
      </c>
      <c r="C303" s="33" t="str">
        <f aca="false">IF($A303="","",IF('2-Gastronomi'!B100="","",'2-Gastronomi'!B100))</f>
        <v/>
      </c>
      <c r="D303" s="32" t="str">
        <f aca="false">IF($A303="","",IF('2-Gastronomi'!C100="","",'2-Gastronomi'!C100))</f>
        <v/>
      </c>
      <c r="E303" s="32" t="str">
        <f aca="false">IF($A303="","",$A303&amp;"-"&amp;$D303)</f>
        <v/>
      </c>
      <c r="F303" s="32" t="str">
        <f aca="false">IF($A303="","",IF('2-Gastronomi'!D100="","",'2-Gastronomi'!D100))</f>
        <v/>
      </c>
      <c r="G303" s="32" t="str">
        <f aca="false">IF($A303="","",IF('2-Gastronomi'!E100="","",'2-Gastronomi'!E100))</f>
        <v/>
      </c>
      <c r="H303" s="32" t="str">
        <f aca="false">IF($A303="","",IF('2-Gastronomi'!F100="","",'2-Gastronomi'!F100))</f>
        <v/>
      </c>
      <c r="I303" s="32" t="str">
        <f aca="false">IF($A303="","",IF('2-Gastronomi'!G100="","",'2-Gastronomi'!G100))</f>
        <v/>
      </c>
      <c r="J303" s="32" t="str">
        <f aca="false">IF($A303="","",IF('2-Gastronomi'!H100="","",'2-Gastronomi'!H100))</f>
        <v/>
      </c>
      <c r="K303" s="32" t="str">
        <f aca="false">IF($A303="","",IF('2-Gastronomi'!I100="","",'2-Gastronomi'!I100))</f>
        <v/>
      </c>
      <c r="L303" s="32" t="str">
        <f aca="false">IF($I303="","",MATCH($I303,{"08.00";"09.00";"10.00";"11.00";"12.00";"13.00";"14.00";"15.00";"16.00";"17.00"},0))</f>
        <v/>
      </c>
      <c r="M303" s="32" t="str">
        <f aca="false">IF(OR($L303="",$J303=""),"",$L303+$J303-1)</f>
        <v/>
      </c>
      <c r="N303" s="32" t="str">
        <f aca="false">IF($A303="","",IF(OR($L303="",$M303=""),"",IF($M303&gt;10,"⚠ Saat Taşıyor","")))</f>
        <v/>
      </c>
      <c r="O303" s="32" t="str">
        <f aca="false">IF($A303="","",IF(OR($G303="",$H303="",$L303=""),"",IF(SUMPRODUCT(($A$7:$A$606&lt;&gt;"")*($G$7:$G$606=$G303)*($H$7:$H$606=$H303)*(ROW($A$7:$A$606)&lt;&gt;303)*($L$7:$L$606&lt;=$M303)*($M$7:$M$606&gt;=$L303))&gt;0,"⚠ Çakışma","OK")))</f>
        <v/>
      </c>
      <c r="P303" s="32" t="str">
        <f aca="false">IF($A303="","",IF(OR($K303="",$H303="",$L303=""),"",IF(SUMPRODUCT(($A$7:$A$606&lt;&gt;"")*($K$7:$K$606=$K303)*($H$7:$H$606=$H303)*(ROW($A$7:$A$606)&lt;&gt;303)*($L$7:$L$606&lt;=$M303)*($M$7:$M$606&gt;=$L303))&gt;0,"⚠ Çakışma","OK")))</f>
        <v/>
      </c>
      <c r="Q303" s="32" t="str">
        <f aca="false">IF($A303="","",IF(OR($E303="",$H303="",$L303=""),"",IF(SUMPRODUCT(($A$7:$A$606&lt;&gt;"")*($E$7:$E$606=$E303)*($H$7:$H$606=$H303)*(ROW($A$7:$A$606)&lt;&gt;303)*($L$7:$L$606&lt;=$M303)*($M$7:$M$606&gt;=$L303))&gt;0,"⚠ Çakışma","OK")))</f>
        <v/>
      </c>
      <c r="R303" s="32" t="str">
        <f aca="false">IF($A303="","",IF(OR($N303&lt;&gt;"",$O303="⚠ Çakışma",$P303="⚠ Çakışma",$Q303="⚠ Çakışma"),"⚠ Kontrol Et","✓ Uygun"))</f>
        <v/>
      </c>
    </row>
    <row r="304" customFormat="false" ht="13.5" hidden="false" customHeight="true" outlineLevel="0" collapsed="false">
      <c r="A304" s="32" t="str">
        <f aca="false">IF('2-Gastronomi'!A101="","","Gastronomi ve Mutfak Sanatları")</f>
        <v/>
      </c>
      <c r="B304" s="32" t="str">
        <f aca="false">IF($A304="","",IF('2-Gastronomi'!A101="","",'2-Gastronomi'!A101))</f>
        <v/>
      </c>
      <c r="C304" s="33" t="str">
        <f aca="false">IF($A304="","",IF('2-Gastronomi'!B101="","",'2-Gastronomi'!B101))</f>
        <v/>
      </c>
      <c r="D304" s="32" t="str">
        <f aca="false">IF($A304="","",IF('2-Gastronomi'!C101="","",'2-Gastronomi'!C101))</f>
        <v/>
      </c>
      <c r="E304" s="32" t="str">
        <f aca="false">IF($A304="","",$A304&amp;"-"&amp;$D304)</f>
        <v/>
      </c>
      <c r="F304" s="32" t="str">
        <f aca="false">IF($A304="","",IF('2-Gastronomi'!D101="","",'2-Gastronomi'!D101))</f>
        <v/>
      </c>
      <c r="G304" s="32" t="str">
        <f aca="false">IF($A304="","",IF('2-Gastronomi'!E101="","",'2-Gastronomi'!E101))</f>
        <v/>
      </c>
      <c r="H304" s="32" t="str">
        <f aca="false">IF($A304="","",IF('2-Gastronomi'!F101="","",'2-Gastronomi'!F101))</f>
        <v/>
      </c>
      <c r="I304" s="32" t="str">
        <f aca="false">IF($A304="","",IF('2-Gastronomi'!G101="","",'2-Gastronomi'!G101))</f>
        <v/>
      </c>
      <c r="J304" s="32" t="str">
        <f aca="false">IF($A304="","",IF('2-Gastronomi'!H101="","",'2-Gastronomi'!H101))</f>
        <v/>
      </c>
      <c r="K304" s="32" t="str">
        <f aca="false">IF($A304="","",IF('2-Gastronomi'!I101="","",'2-Gastronomi'!I101))</f>
        <v/>
      </c>
      <c r="L304" s="32" t="str">
        <f aca="false">IF($I304="","",MATCH($I304,{"08.00";"09.00";"10.00";"11.00";"12.00";"13.00";"14.00";"15.00";"16.00";"17.00"},0))</f>
        <v/>
      </c>
      <c r="M304" s="32" t="str">
        <f aca="false">IF(OR($L304="",$J304=""),"",$L304+$J304-1)</f>
        <v/>
      </c>
      <c r="N304" s="32" t="str">
        <f aca="false">IF($A304="","",IF(OR($L304="",$M304=""),"",IF($M304&gt;10,"⚠ Saat Taşıyor","")))</f>
        <v/>
      </c>
      <c r="O304" s="32" t="str">
        <f aca="false">IF($A304="","",IF(OR($G304="",$H304="",$L304=""),"",IF(SUMPRODUCT(($A$7:$A$606&lt;&gt;"")*($G$7:$G$606=$G304)*($H$7:$H$606=$H304)*(ROW($A$7:$A$606)&lt;&gt;304)*($L$7:$L$606&lt;=$M304)*($M$7:$M$606&gt;=$L304))&gt;0,"⚠ Çakışma","OK")))</f>
        <v/>
      </c>
      <c r="P304" s="32" t="str">
        <f aca="false">IF($A304="","",IF(OR($K304="",$H304="",$L304=""),"",IF(SUMPRODUCT(($A$7:$A$606&lt;&gt;"")*($K$7:$K$606=$K304)*($H$7:$H$606=$H304)*(ROW($A$7:$A$606)&lt;&gt;304)*($L$7:$L$606&lt;=$M304)*($M$7:$M$606&gt;=$L304))&gt;0,"⚠ Çakışma","OK")))</f>
        <v/>
      </c>
      <c r="Q304" s="32" t="str">
        <f aca="false">IF($A304="","",IF(OR($E304="",$H304="",$L304=""),"",IF(SUMPRODUCT(($A$7:$A$606&lt;&gt;"")*($E$7:$E$606=$E304)*($H$7:$H$606=$H304)*(ROW($A$7:$A$606)&lt;&gt;304)*($L$7:$L$606&lt;=$M304)*($M$7:$M$606&gt;=$L304))&gt;0,"⚠ Çakışma","OK")))</f>
        <v/>
      </c>
      <c r="R304" s="32" t="str">
        <f aca="false">IF($A304="","",IF(OR($N304&lt;&gt;"",$O304="⚠ Çakışma",$P304="⚠ Çakışma",$Q304="⚠ Çakışma"),"⚠ Kontrol Et","✓ Uygun"))</f>
        <v/>
      </c>
    </row>
    <row r="305" customFormat="false" ht="13.5" hidden="false" customHeight="true" outlineLevel="0" collapsed="false">
      <c r="A305" s="32" t="str">
        <f aca="false">IF('2-Gastronomi'!A102="","","Gastronomi ve Mutfak Sanatları")</f>
        <v/>
      </c>
      <c r="B305" s="32" t="str">
        <f aca="false">IF($A305="","",IF('2-Gastronomi'!A102="","",'2-Gastronomi'!A102))</f>
        <v/>
      </c>
      <c r="C305" s="33" t="str">
        <f aca="false">IF($A305="","",IF('2-Gastronomi'!B102="","",'2-Gastronomi'!B102))</f>
        <v/>
      </c>
      <c r="D305" s="32" t="str">
        <f aca="false">IF($A305="","",IF('2-Gastronomi'!C102="","",'2-Gastronomi'!C102))</f>
        <v/>
      </c>
      <c r="E305" s="32" t="str">
        <f aca="false">IF($A305="","",$A305&amp;"-"&amp;$D305)</f>
        <v/>
      </c>
      <c r="F305" s="32" t="str">
        <f aca="false">IF($A305="","",IF('2-Gastronomi'!D102="","",'2-Gastronomi'!D102))</f>
        <v/>
      </c>
      <c r="G305" s="32" t="str">
        <f aca="false">IF($A305="","",IF('2-Gastronomi'!E102="","",'2-Gastronomi'!E102))</f>
        <v/>
      </c>
      <c r="H305" s="32" t="str">
        <f aca="false">IF($A305="","",IF('2-Gastronomi'!F102="","",'2-Gastronomi'!F102))</f>
        <v/>
      </c>
      <c r="I305" s="32" t="str">
        <f aca="false">IF($A305="","",IF('2-Gastronomi'!G102="","",'2-Gastronomi'!G102))</f>
        <v/>
      </c>
      <c r="J305" s="32" t="str">
        <f aca="false">IF($A305="","",IF('2-Gastronomi'!H102="","",'2-Gastronomi'!H102))</f>
        <v/>
      </c>
      <c r="K305" s="32" t="str">
        <f aca="false">IF($A305="","",IF('2-Gastronomi'!I102="","",'2-Gastronomi'!I102))</f>
        <v/>
      </c>
      <c r="L305" s="32" t="str">
        <f aca="false">IF($I305="","",MATCH($I305,{"08.00";"09.00";"10.00";"11.00";"12.00";"13.00";"14.00";"15.00";"16.00";"17.00"},0))</f>
        <v/>
      </c>
      <c r="M305" s="32" t="str">
        <f aca="false">IF(OR($L305="",$J305=""),"",$L305+$J305-1)</f>
        <v/>
      </c>
      <c r="N305" s="32" t="str">
        <f aca="false">IF($A305="","",IF(OR($L305="",$M305=""),"",IF($M305&gt;10,"⚠ Saat Taşıyor","")))</f>
        <v/>
      </c>
      <c r="O305" s="32" t="str">
        <f aca="false">IF($A305="","",IF(OR($G305="",$H305="",$L305=""),"",IF(SUMPRODUCT(($A$7:$A$606&lt;&gt;"")*($G$7:$G$606=$G305)*($H$7:$H$606=$H305)*(ROW($A$7:$A$606)&lt;&gt;305)*($L$7:$L$606&lt;=$M305)*($M$7:$M$606&gt;=$L305))&gt;0,"⚠ Çakışma","OK")))</f>
        <v/>
      </c>
      <c r="P305" s="32" t="str">
        <f aca="false">IF($A305="","",IF(OR($K305="",$H305="",$L305=""),"",IF(SUMPRODUCT(($A$7:$A$606&lt;&gt;"")*($K$7:$K$606=$K305)*($H$7:$H$606=$H305)*(ROW($A$7:$A$606)&lt;&gt;305)*($L$7:$L$606&lt;=$M305)*($M$7:$M$606&gt;=$L305))&gt;0,"⚠ Çakışma","OK")))</f>
        <v/>
      </c>
      <c r="Q305" s="32" t="str">
        <f aca="false">IF($A305="","",IF(OR($E305="",$H305="",$L305=""),"",IF(SUMPRODUCT(($A$7:$A$606&lt;&gt;"")*($E$7:$E$606=$E305)*($H$7:$H$606=$H305)*(ROW($A$7:$A$606)&lt;&gt;305)*($L$7:$L$606&lt;=$M305)*($M$7:$M$606&gt;=$L305))&gt;0,"⚠ Çakışma","OK")))</f>
        <v/>
      </c>
      <c r="R305" s="32" t="str">
        <f aca="false">IF($A305="","",IF(OR($N305&lt;&gt;"",$O305="⚠ Çakışma",$P305="⚠ Çakışma",$Q305="⚠ Çakışma"),"⚠ Kontrol Et","✓ Uygun"))</f>
        <v/>
      </c>
    </row>
    <row r="306" customFormat="false" ht="13.5" hidden="false" customHeight="true" outlineLevel="0" collapsed="false">
      <c r="A306" s="32" t="str">
        <f aca="false">IF('2-Gastronomi'!A103="","","Gastronomi ve Mutfak Sanatları")</f>
        <v/>
      </c>
      <c r="B306" s="32" t="str">
        <f aca="false">IF($A306="","",IF('2-Gastronomi'!A103="","",'2-Gastronomi'!A103))</f>
        <v/>
      </c>
      <c r="C306" s="33" t="str">
        <f aca="false">IF($A306="","",IF('2-Gastronomi'!B103="","",'2-Gastronomi'!B103))</f>
        <v/>
      </c>
      <c r="D306" s="32" t="str">
        <f aca="false">IF($A306="","",IF('2-Gastronomi'!C103="","",'2-Gastronomi'!C103))</f>
        <v/>
      </c>
      <c r="E306" s="32" t="str">
        <f aca="false">IF($A306="","",$A306&amp;"-"&amp;$D306)</f>
        <v/>
      </c>
      <c r="F306" s="32" t="str">
        <f aca="false">IF($A306="","",IF('2-Gastronomi'!D103="","",'2-Gastronomi'!D103))</f>
        <v/>
      </c>
      <c r="G306" s="32" t="str">
        <f aca="false">IF($A306="","",IF('2-Gastronomi'!E103="","",'2-Gastronomi'!E103))</f>
        <v/>
      </c>
      <c r="H306" s="32" t="str">
        <f aca="false">IF($A306="","",IF('2-Gastronomi'!F103="","",'2-Gastronomi'!F103))</f>
        <v/>
      </c>
      <c r="I306" s="32" t="str">
        <f aca="false">IF($A306="","",IF('2-Gastronomi'!G103="","",'2-Gastronomi'!G103))</f>
        <v/>
      </c>
      <c r="J306" s="32" t="str">
        <f aca="false">IF($A306="","",IF('2-Gastronomi'!H103="","",'2-Gastronomi'!H103))</f>
        <v/>
      </c>
      <c r="K306" s="32" t="str">
        <f aca="false">IF($A306="","",IF('2-Gastronomi'!I103="","",'2-Gastronomi'!I103))</f>
        <v/>
      </c>
      <c r="L306" s="32" t="str">
        <f aca="false">IF($I306="","",MATCH($I306,{"08.00";"09.00";"10.00";"11.00";"12.00";"13.00";"14.00";"15.00";"16.00";"17.00"},0))</f>
        <v/>
      </c>
      <c r="M306" s="32" t="str">
        <f aca="false">IF(OR($L306="",$J306=""),"",$L306+$J306-1)</f>
        <v/>
      </c>
      <c r="N306" s="32" t="str">
        <f aca="false">IF($A306="","",IF(OR($L306="",$M306=""),"",IF($M306&gt;10,"⚠ Saat Taşıyor","")))</f>
        <v/>
      </c>
      <c r="O306" s="32" t="str">
        <f aca="false">IF($A306="","",IF(OR($G306="",$H306="",$L306=""),"",IF(SUMPRODUCT(($A$7:$A$606&lt;&gt;"")*($G$7:$G$606=$G306)*($H$7:$H$606=$H306)*(ROW($A$7:$A$606)&lt;&gt;306)*($L$7:$L$606&lt;=$M306)*($M$7:$M$606&gt;=$L306))&gt;0,"⚠ Çakışma","OK")))</f>
        <v/>
      </c>
      <c r="P306" s="32" t="str">
        <f aca="false">IF($A306="","",IF(OR($K306="",$H306="",$L306=""),"",IF(SUMPRODUCT(($A$7:$A$606&lt;&gt;"")*($K$7:$K$606=$K306)*($H$7:$H$606=$H306)*(ROW($A$7:$A$606)&lt;&gt;306)*($L$7:$L$606&lt;=$M306)*($M$7:$M$606&gt;=$L306))&gt;0,"⚠ Çakışma","OK")))</f>
        <v/>
      </c>
      <c r="Q306" s="32" t="str">
        <f aca="false">IF($A306="","",IF(OR($E306="",$H306="",$L306=""),"",IF(SUMPRODUCT(($A$7:$A$606&lt;&gt;"")*($E$7:$E$606=$E306)*($H$7:$H$606=$H306)*(ROW($A$7:$A$606)&lt;&gt;306)*($L$7:$L$606&lt;=$M306)*($M$7:$M$606&gt;=$L306))&gt;0,"⚠ Çakışma","OK")))</f>
        <v/>
      </c>
      <c r="R306" s="32" t="str">
        <f aca="false">IF($A306="","",IF(OR($N306&lt;&gt;"",$O306="⚠ Çakışma",$P306="⚠ Çakışma",$Q306="⚠ Çakışma"),"⚠ Kontrol Et","✓ Uygun"))</f>
        <v/>
      </c>
    </row>
    <row r="307" customFormat="false" ht="13.5" hidden="false" customHeight="true" outlineLevel="0" collapsed="false">
      <c r="A307" s="32" t="str">
        <f aca="false">IF('2-Gastronomi'!A104="","","Gastronomi ve Mutfak Sanatları")</f>
        <v/>
      </c>
      <c r="B307" s="32" t="str">
        <f aca="false">IF($A307="","",IF('2-Gastronomi'!A104="","",'2-Gastronomi'!A104))</f>
        <v/>
      </c>
      <c r="C307" s="33" t="str">
        <f aca="false">IF($A307="","",IF('2-Gastronomi'!B104="","",'2-Gastronomi'!B104))</f>
        <v/>
      </c>
      <c r="D307" s="32" t="str">
        <f aca="false">IF($A307="","",IF('2-Gastronomi'!C104="","",'2-Gastronomi'!C104))</f>
        <v/>
      </c>
      <c r="E307" s="32" t="str">
        <f aca="false">IF($A307="","",$A307&amp;"-"&amp;$D307)</f>
        <v/>
      </c>
      <c r="F307" s="32" t="str">
        <f aca="false">IF($A307="","",IF('2-Gastronomi'!D104="","",'2-Gastronomi'!D104))</f>
        <v/>
      </c>
      <c r="G307" s="32" t="str">
        <f aca="false">IF($A307="","",IF('2-Gastronomi'!E104="","",'2-Gastronomi'!E104))</f>
        <v/>
      </c>
      <c r="H307" s="32" t="str">
        <f aca="false">IF($A307="","",IF('2-Gastronomi'!F104="","",'2-Gastronomi'!F104))</f>
        <v/>
      </c>
      <c r="I307" s="32" t="str">
        <f aca="false">IF($A307="","",IF('2-Gastronomi'!G104="","",'2-Gastronomi'!G104))</f>
        <v/>
      </c>
      <c r="J307" s="32" t="str">
        <f aca="false">IF($A307="","",IF('2-Gastronomi'!H104="","",'2-Gastronomi'!H104))</f>
        <v/>
      </c>
      <c r="K307" s="32" t="str">
        <f aca="false">IF($A307="","",IF('2-Gastronomi'!I104="","",'2-Gastronomi'!I104))</f>
        <v/>
      </c>
      <c r="L307" s="32" t="str">
        <f aca="false">IF($I307="","",MATCH($I307,{"08.00";"09.00";"10.00";"11.00";"12.00";"13.00";"14.00";"15.00";"16.00";"17.00"},0))</f>
        <v/>
      </c>
      <c r="M307" s="32" t="str">
        <f aca="false">IF(OR($L307="",$J307=""),"",$L307+$J307-1)</f>
        <v/>
      </c>
      <c r="N307" s="32" t="str">
        <f aca="false">IF($A307="","",IF(OR($L307="",$M307=""),"",IF($M307&gt;10,"⚠ Saat Taşıyor","")))</f>
        <v/>
      </c>
      <c r="O307" s="32" t="str">
        <f aca="false">IF($A307="","",IF(OR($G307="",$H307="",$L307=""),"",IF(SUMPRODUCT(($A$7:$A$606&lt;&gt;"")*($G$7:$G$606=$G307)*($H$7:$H$606=$H307)*(ROW($A$7:$A$606)&lt;&gt;307)*($L$7:$L$606&lt;=$M307)*($M$7:$M$606&gt;=$L307))&gt;0,"⚠ Çakışma","OK")))</f>
        <v/>
      </c>
      <c r="P307" s="32" t="str">
        <f aca="false">IF($A307="","",IF(OR($K307="",$H307="",$L307=""),"",IF(SUMPRODUCT(($A$7:$A$606&lt;&gt;"")*($K$7:$K$606=$K307)*($H$7:$H$606=$H307)*(ROW($A$7:$A$606)&lt;&gt;307)*($L$7:$L$606&lt;=$M307)*($M$7:$M$606&gt;=$L307))&gt;0,"⚠ Çakışma","OK")))</f>
        <v/>
      </c>
      <c r="Q307" s="32" t="str">
        <f aca="false">IF($A307="","",IF(OR($E307="",$H307="",$L307=""),"",IF(SUMPRODUCT(($A$7:$A$606&lt;&gt;"")*($E$7:$E$606=$E307)*($H$7:$H$606=$H307)*(ROW($A$7:$A$606)&lt;&gt;307)*($L$7:$L$606&lt;=$M307)*($M$7:$M$606&gt;=$L307))&gt;0,"⚠ Çakışma","OK")))</f>
        <v/>
      </c>
      <c r="R307" s="32" t="str">
        <f aca="false">IF($A307="","",IF(OR($N307&lt;&gt;"",$O307="⚠ Çakışma",$P307="⚠ Çakışma",$Q307="⚠ Çakışma"),"⚠ Kontrol Et","✓ Uygun"))</f>
        <v/>
      </c>
    </row>
    <row r="308" customFormat="false" ht="13.5" hidden="false" customHeight="true" outlineLevel="0" collapsed="false">
      <c r="A308" s="32" t="str">
        <f aca="false">IF('2-Gastronomi'!A105="","","Gastronomi ve Mutfak Sanatları")</f>
        <v/>
      </c>
      <c r="B308" s="32" t="str">
        <f aca="false">IF($A308="","",IF('2-Gastronomi'!A105="","",'2-Gastronomi'!A105))</f>
        <v/>
      </c>
      <c r="C308" s="33" t="str">
        <f aca="false">IF($A308="","",IF('2-Gastronomi'!B105="","",'2-Gastronomi'!B105))</f>
        <v/>
      </c>
      <c r="D308" s="32" t="str">
        <f aca="false">IF($A308="","",IF('2-Gastronomi'!C105="","",'2-Gastronomi'!C105))</f>
        <v/>
      </c>
      <c r="E308" s="32" t="str">
        <f aca="false">IF($A308="","",$A308&amp;"-"&amp;$D308)</f>
        <v/>
      </c>
      <c r="F308" s="32" t="str">
        <f aca="false">IF($A308="","",IF('2-Gastronomi'!D105="","",'2-Gastronomi'!D105))</f>
        <v/>
      </c>
      <c r="G308" s="32" t="str">
        <f aca="false">IF($A308="","",IF('2-Gastronomi'!E105="","",'2-Gastronomi'!E105))</f>
        <v/>
      </c>
      <c r="H308" s="32" t="str">
        <f aca="false">IF($A308="","",IF('2-Gastronomi'!F105="","",'2-Gastronomi'!F105))</f>
        <v/>
      </c>
      <c r="I308" s="32" t="str">
        <f aca="false">IF($A308="","",IF('2-Gastronomi'!G105="","",'2-Gastronomi'!G105))</f>
        <v/>
      </c>
      <c r="J308" s="32" t="str">
        <f aca="false">IF($A308="","",IF('2-Gastronomi'!H105="","",'2-Gastronomi'!H105))</f>
        <v/>
      </c>
      <c r="K308" s="32" t="str">
        <f aca="false">IF($A308="","",IF('2-Gastronomi'!I105="","",'2-Gastronomi'!I105))</f>
        <v/>
      </c>
      <c r="L308" s="32" t="str">
        <f aca="false">IF($I308="","",MATCH($I308,{"08.00";"09.00";"10.00";"11.00";"12.00";"13.00";"14.00";"15.00";"16.00";"17.00"},0))</f>
        <v/>
      </c>
      <c r="M308" s="32" t="str">
        <f aca="false">IF(OR($L308="",$J308=""),"",$L308+$J308-1)</f>
        <v/>
      </c>
      <c r="N308" s="32" t="str">
        <f aca="false">IF($A308="","",IF(OR($L308="",$M308=""),"",IF($M308&gt;10,"⚠ Saat Taşıyor","")))</f>
        <v/>
      </c>
      <c r="O308" s="32" t="str">
        <f aca="false">IF($A308="","",IF(OR($G308="",$H308="",$L308=""),"",IF(SUMPRODUCT(($A$7:$A$606&lt;&gt;"")*($G$7:$G$606=$G308)*($H$7:$H$606=$H308)*(ROW($A$7:$A$606)&lt;&gt;308)*($L$7:$L$606&lt;=$M308)*($M$7:$M$606&gt;=$L308))&gt;0,"⚠ Çakışma","OK")))</f>
        <v/>
      </c>
      <c r="P308" s="32" t="str">
        <f aca="false">IF($A308="","",IF(OR($K308="",$H308="",$L308=""),"",IF(SUMPRODUCT(($A$7:$A$606&lt;&gt;"")*($K$7:$K$606=$K308)*($H$7:$H$606=$H308)*(ROW($A$7:$A$606)&lt;&gt;308)*($L$7:$L$606&lt;=$M308)*($M$7:$M$606&gt;=$L308))&gt;0,"⚠ Çakışma","OK")))</f>
        <v/>
      </c>
      <c r="Q308" s="32" t="str">
        <f aca="false">IF($A308="","",IF(OR($E308="",$H308="",$L308=""),"",IF(SUMPRODUCT(($A$7:$A$606&lt;&gt;"")*($E$7:$E$606=$E308)*($H$7:$H$606=$H308)*(ROW($A$7:$A$606)&lt;&gt;308)*($L$7:$L$606&lt;=$M308)*($M$7:$M$606&gt;=$L308))&gt;0,"⚠ Çakışma","OK")))</f>
        <v/>
      </c>
      <c r="R308" s="32" t="str">
        <f aca="false">IF($A308="","",IF(OR($N308&lt;&gt;"",$O308="⚠ Çakışma",$P308="⚠ Çakışma",$Q308="⚠ Çakışma"),"⚠ Kontrol Et","✓ Uygun"))</f>
        <v/>
      </c>
    </row>
    <row r="309" customFormat="false" ht="13.5" hidden="false" customHeight="true" outlineLevel="0" collapsed="false">
      <c r="A309" s="32" t="str">
        <f aca="false">IF('2-Gastronomi'!A106="","","Gastronomi ve Mutfak Sanatları")</f>
        <v/>
      </c>
      <c r="B309" s="32" t="str">
        <f aca="false">IF($A309="","",IF('2-Gastronomi'!A106="","",'2-Gastronomi'!A106))</f>
        <v/>
      </c>
      <c r="C309" s="33" t="str">
        <f aca="false">IF($A309="","",IF('2-Gastronomi'!B106="","",'2-Gastronomi'!B106))</f>
        <v/>
      </c>
      <c r="D309" s="32" t="str">
        <f aca="false">IF($A309="","",IF('2-Gastronomi'!C106="","",'2-Gastronomi'!C106))</f>
        <v/>
      </c>
      <c r="E309" s="32" t="str">
        <f aca="false">IF($A309="","",$A309&amp;"-"&amp;$D309)</f>
        <v/>
      </c>
      <c r="F309" s="32" t="str">
        <f aca="false">IF($A309="","",IF('2-Gastronomi'!D106="","",'2-Gastronomi'!D106))</f>
        <v/>
      </c>
      <c r="G309" s="32" t="str">
        <f aca="false">IF($A309="","",IF('2-Gastronomi'!E106="","",'2-Gastronomi'!E106))</f>
        <v/>
      </c>
      <c r="H309" s="32" t="str">
        <f aca="false">IF($A309="","",IF('2-Gastronomi'!F106="","",'2-Gastronomi'!F106))</f>
        <v/>
      </c>
      <c r="I309" s="32" t="str">
        <f aca="false">IF($A309="","",IF('2-Gastronomi'!G106="","",'2-Gastronomi'!G106))</f>
        <v/>
      </c>
      <c r="J309" s="32" t="str">
        <f aca="false">IF($A309="","",IF('2-Gastronomi'!H106="","",'2-Gastronomi'!H106))</f>
        <v/>
      </c>
      <c r="K309" s="32" t="str">
        <f aca="false">IF($A309="","",IF('2-Gastronomi'!I106="","",'2-Gastronomi'!I106))</f>
        <v/>
      </c>
      <c r="L309" s="32" t="str">
        <f aca="false">IF($I309="","",MATCH($I309,{"08.00";"09.00";"10.00";"11.00";"12.00";"13.00";"14.00";"15.00";"16.00";"17.00"},0))</f>
        <v/>
      </c>
      <c r="M309" s="32" t="str">
        <f aca="false">IF(OR($L309="",$J309=""),"",$L309+$J309-1)</f>
        <v/>
      </c>
      <c r="N309" s="32" t="str">
        <f aca="false">IF($A309="","",IF(OR($L309="",$M309=""),"",IF($M309&gt;10,"⚠ Saat Taşıyor","")))</f>
        <v/>
      </c>
      <c r="O309" s="32" t="str">
        <f aca="false">IF($A309="","",IF(OR($G309="",$H309="",$L309=""),"",IF(SUMPRODUCT(($A$7:$A$606&lt;&gt;"")*($G$7:$G$606=$G309)*($H$7:$H$606=$H309)*(ROW($A$7:$A$606)&lt;&gt;309)*($L$7:$L$606&lt;=$M309)*($M$7:$M$606&gt;=$L309))&gt;0,"⚠ Çakışma","OK")))</f>
        <v/>
      </c>
      <c r="P309" s="32" t="str">
        <f aca="false">IF($A309="","",IF(OR($K309="",$H309="",$L309=""),"",IF(SUMPRODUCT(($A$7:$A$606&lt;&gt;"")*($K$7:$K$606=$K309)*($H$7:$H$606=$H309)*(ROW($A$7:$A$606)&lt;&gt;309)*($L$7:$L$606&lt;=$M309)*($M$7:$M$606&gt;=$L309))&gt;0,"⚠ Çakışma","OK")))</f>
        <v/>
      </c>
      <c r="Q309" s="32" t="str">
        <f aca="false">IF($A309="","",IF(OR($E309="",$H309="",$L309=""),"",IF(SUMPRODUCT(($A$7:$A$606&lt;&gt;"")*($E$7:$E$606=$E309)*($H$7:$H$606=$H309)*(ROW($A$7:$A$606)&lt;&gt;309)*($L$7:$L$606&lt;=$M309)*($M$7:$M$606&gt;=$L309))&gt;0,"⚠ Çakışma","OK")))</f>
        <v/>
      </c>
      <c r="R309" s="32" t="str">
        <f aca="false">IF($A309="","",IF(OR($N309&lt;&gt;"",$O309="⚠ Çakışma",$P309="⚠ Çakışma",$Q309="⚠ Çakışma"),"⚠ Kontrol Et","✓ Uygun"))</f>
        <v/>
      </c>
    </row>
    <row r="310" customFormat="false" ht="13.5" hidden="false" customHeight="true" outlineLevel="0" collapsed="false">
      <c r="A310" s="32" t="str">
        <f aca="false">IF('2-Gastronomi'!A107="","","Gastronomi ve Mutfak Sanatları")</f>
        <v/>
      </c>
      <c r="B310" s="32" t="str">
        <f aca="false">IF($A310="","",IF('2-Gastronomi'!A107="","",'2-Gastronomi'!A107))</f>
        <v/>
      </c>
      <c r="C310" s="33" t="str">
        <f aca="false">IF($A310="","",IF('2-Gastronomi'!B107="","",'2-Gastronomi'!B107))</f>
        <v/>
      </c>
      <c r="D310" s="32" t="str">
        <f aca="false">IF($A310="","",IF('2-Gastronomi'!C107="","",'2-Gastronomi'!C107))</f>
        <v/>
      </c>
      <c r="E310" s="32" t="str">
        <f aca="false">IF($A310="","",$A310&amp;"-"&amp;$D310)</f>
        <v/>
      </c>
      <c r="F310" s="32" t="str">
        <f aca="false">IF($A310="","",IF('2-Gastronomi'!D107="","",'2-Gastronomi'!D107))</f>
        <v/>
      </c>
      <c r="G310" s="32" t="str">
        <f aca="false">IF($A310="","",IF('2-Gastronomi'!E107="","",'2-Gastronomi'!E107))</f>
        <v/>
      </c>
      <c r="H310" s="32" t="str">
        <f aca="false">IF($A310="","",IF('2-Gastronomi'!F107="","",'2-Gastronomi'!F107))</f>
        <v/>
      </c>
      <c r="I310" s="32" t="str">
        <f aca="false">IF($A310="","",IF('2-Gastronomi'!G107="","",'2-Gastronomi'!G107))</f>
        <v/>
      </c>
      <c r="J310" s="32" t="str">
        <f aca="false">IF($A310="","",IF('2-Gastronomi'!H107="","",'2-Gastronomi'!H107))</f>
        <v/>
      </c>
      <c r="K310" s="32" t="str">
        <f aca="false">IF($A310="","",IF('2-Gastronomi'!I107="","",'2-Gastronomi'!I107))</f>
        <v/>
      </c>
      <c r="L310" s="32" t="str">
        <f aca="false">IF($I310="","",MATCH($I310,{"08.00";"09.00";"10.00";"11.00";"12.00";"13.00";"14.00";"15.00";"16.00";"17.00"},0))</f>
        <v/>
      </c>
      <c r="M310" s="32" t="str">
        <f aca="false">IF(OR($L310="",$J310=""),"",$L310+$J310-1)</f>
        <v/>
      </c>
      <c r="N310" s="32" t="str">
        <f aca="false">IF($A310="","",IF(OR($L310="",$M310=""),"",IF($M310&gt;10,"⚠ Saat Taşıyor","")))</f>
        <v/>
      </c>
      <c r="O310" s="32" t="str">
        <f aca="false">IF($A310="","",IF(OR($G310="",$H310="",$L310=""),"",IF(SUMPRODUCT(($A$7:$A$606&lt;&gt;"")*($G$7:$G$606=$G310)*($H$7:$H$606=$H310)*(ROW($A$7:$A$606)&lt;&gt;310)*($L$7:$L$606&lt;=$M310)*($M$7:$M$606&gt;=$L310))&gt;0,"⚠ Çakışma","OK")))</f>
        <v/>
      </c>
      <c r="P310" s="32" t="str">
        <f aca="false">IF($A310="","",IF(OR($K310="",$H310="",$L310=""),"",IF(SUMPRODUCT(($A$7:$A$606&lt;&gt;"")*($K$7:$K$606=$K310)*($H$7:$H$606=$H310)*(ROW($A$7:$A$606)&lt;&gt;310)*($L$7:$L$606&lt;=$M310)*($M$7:$M$606&gt;=$L310))&gt;0,"⚠ Çakışma","OK")))</f>
        <v/>
      </c>
      <c r="Q310" s="32" t="str">
        <f aca="false">IF($A310="","",IF(OR($E310="",$H310="",$L310=""),"",IF(SUMPRODUCT(($A$7:$A$606&lt;&gt;"")*($E$7:$E$606=$E310)*($H$7:$H$606=$H310)*(ROW($A$7:$A$606)&lt;&gt;310)*($L$7:$L$606&lt;=$M310)*($M$7:$M$606&gt;=$L310))&gt;0,"⚠ Çakışma","OK")))</f>
        <v/>
      </c>
      <c r="R310" s="32" t="str">
        <f aca="false">IF($A310="","",IF(OR($N310&lt;&gt;"",$O310="⚠ Çakışma",$P310="⚠ Çakışma",$Q310="⚠ Çakışma"),"⚠ Kontrol Et","✓ Uygun"))</f>
        <v/>
      </c>
    </row>
    <row r="311" customFormat="false" ht="13.5" hidden="false" customHeight="true" outlineLevel="0" collapsed="false">
      <c r="A311" s="32" t="str">
        <f aca="false">IF('2-Gastronomi'!A108="","","Gastronomi ve Mutfak Sanatları")</f>
        <v/>
      </c>
      <c r="B311" s="32" t="str">
        <f aca="false">IF($A311="","",IF('2-Gastronomi'!A108="","",'2-Gastronomi'!A108))</f>
        <v/>
      </c>
      <c r="C311" s="33" t="str">
        <f aca="false">IF($A311="","",IF('2-Gastronomi'!B108="","",'2-Gastronomi'!B108))</f>
        <v/>
      </c>
      <c r="D311" s="32" t="str">
        <f aca="false">IF($A311="","",IF('2-Gastronomi'!C108="","",'2-Gastronomi'!C108))</f>
        <v/>
      </c>
      <c r="E311" s="32" t="str">
        <f aca="false">IF($A311="","",$A311&amp;"-"&amp;$D311)</f>
        <v/>
      </c>
      <c r="F311" s="32" t="str">
        <f aca="false">IF($A311="","",IF('2-Gastronomi'!D108="","",'2-Gastronomi'!D108))</f>
        <v/>
      </c>
      <c r="G311" s="32" t="str">
        <f aca="false">IF($A311="","",IF('2-Gastronomi'!E108="","",'2-Gastronomi'!E108))</f>
        <v/>
      </c>
      <c r="H311" s="32" t="str">
        <f aca="false">IF($A311="","",IF('2-Gastronomi'!F108="","",'2-Gastronomi'!F108))</f>
        <v/>
      </c>
      <c r="I311" s="32" t="str">
        <f aca="false">IF($A311="","",IF('2-Gastronomi'!G108="","",'2-Gastronomi'!G108))</f>
        <v/>
      </c>
      <c r="J311" s="32" t="str">
        <f aca="false">IF($A311="","",IF('2-Gastronomi'!H108="","",'2-Gastronomi'!H108))</f>
        <v/>
      </c>
      <c r="K311" s="32" t="str">
        <f aca="false">IF($A311="","",IF('2-Gastronomi'!I108="","",'2-Gastronomi'!I108))</f>
        <v/>
      </c>
      <c r="L311" s="32" t="str">
        <f aca="false">IF($I311="","",MATCH($I311,{"08.00";"09.00";"10.00";"11.00";"12.00";"13.00";"14.00";"15.00";"16.00";"17.00"},0))</f>
        <v/>
      </c>
      <c r="M311" s="32" t="str">
        <f aca="false">IF(OR($L311="",$J311=""),"",$L311+$J311-1)</f>
        <v/>
      </c>
      <c r="N311" s="32" t="str">
        <f aca="false">IF($A311="","",IF(OR($L311="",$M311=""),"",IF($M311&gt;10,"⚠ Saat Taşıyor","")))</f>
        <v/>
      </c>
      <c r="O311" s="32" t="str">
        <f aca="false">IF($A311="","",IF(OR($G311="",$H311="",$L311=""),"",IF(SUMPRODUCT(($A$7:$A$606&lt;&gt;"")*($G$7:$G$606=$G311)*($H$7:$H$606=$H311)*(ROW($A$7:$A$606)&lt;&gt;311)*($L$7:$L$606&lt;=$M311)*($M$7:$M$606&gt;=$L311))&gt;0,"⚠ Çakışma","OK")))</f>
        <v/>
      </c>
      <c r="P311" s="32" t="str">
        <f aca="false">IF($A311="","",IF(OR($K311="",$H311="",$L311=""),"",IF(SUMPRODUCT(($A$7:$A$606&lt;&gt;"")*($K$7:$K$606=$K311)*($H$7:$H$606=$H311)*(ROW($A$7:$A$606)&lt;&gt;311)*($L$7:$L$606&lt;=$M311)*($M$7:$M$606&gt;=$L311))&gt;0,"⚠ Çakışma","OK")))</f>
        <v/>
      </c>
      <c r="Q311" s="32" t="str">
        <f aca="false">IF($A311="","",IF(OR($E311="",$H311="",$L311=""),"",IF(SUMPRODUCT(($A$7:$A$606&lt;&gt;"")*($E$7:$E$606=$E311)*($H$7:$H$606=$H311)*(ROW($A$7:$A$606)&lt;&gt;311)*($L$7:$L$606&lt;=$M311)*($M$7:$M$606&gt;=$L311))&gt;0,"⚠ Çakışma","OK")))</f>
        <v/>
      </c>
      <c r="R311" s="32" t="str">
        <f aca="false">IF($A311="","",IF(OR($N311&lt;&gt;"",$O311="⚠ Çakışma",$P311="⚠ Çakışma",$Q311="⚠ Çakışma"),"⚠ Kontrol Et","✓ Uygun"))</f>
        <v/>
      </c>
    </row>
    <row r="312" customFormat="false" ht="13.5" hidden="false" customHeight="true" outlineLevel="0" collapsed="false">
      <c r="A312" s="32" t="str">
        <f aca="false">IF('2-Gastronomi'!A109="","","Gastronomi ve Mutfak Sanatları")</f>
        <v/>
      </c>
      <c r="B312" s="32" t="str">
        <f aca="false">IF($A312="","",IF('2-Gastronomi'!A109="","",'2-Gastronomi'!A109))</f>
        <v/>
      </c>
      <c r="C312" s="33" t="str">
        <f aca="false">IF($A312="","",IF('2-Gastronomi'!B109="","",'2-Gastronomi'!B109))</f>
        <v/>
      </c>
      <c r="D312" s="32" t="str">
        <f aca="false">IF($A312="","",IF('2-Gastronomi'!C109="","",'2-Gastronomi'!C109))</f>
        <v/>
      </c>
      <c r="E312" s="32" t="str">
        <f aca="false">IF($A312="","",$A312&amp;"-"&amp;$D312)</f>
        <v/>
      </c>
      <c r="F312" s="32" t="str">
        <f aca="false">IF($A312="","",IF('2-Gastronomi'!D109="","",'2-Gastronomi'!D109))</f>
        <v/>
      </c>
      <c r="G312" s="32" t="str">
        <f aca="false">IF($A312="","",IF('2-Gastronomi'!E109="","",'2-Gastronomi'!E109))</f>
        <v/>
      </c>
      <c r="H312" s="32" t="str">
        <f aca="false">IF($A312="","",IF('2-Gastronomi'!F109="","",'2-Gastronomi'!F109))</f>
        <v/>
      </c>
      <c r="I312" s="32" t="str">
        <f aca="false">IF($A312="","",IF('2-Gastronomi'!G109="","",'2-Gastronomi'!G109))</f>
        <v/>
      </c>
      <c r="J312" s="32" t="str">
        <f aca="false">IF($A312="","",IF('2-Gastronomi'!H109="","",'2-Gastronomi'!H109))</f>
        <v/>
      </c>
      <c r="K312" s="32" t="str">
        <f aca="false">IF($A312="","",IF('2-Gastronomi'!I109="","",'2-Gastronomi'!I109))</f>
        <v/>
      </c>
      <c r="L312" s="32" t="str">
        <f aca="false">IF($I312="","",MATCH($I312,{"08.00";"09.00";"10.00";"11.00";"12.00";"13.00";"14.00";"15.00";"16.00";"17.00"},0))</f>
        <v/>
      </c>
      <c r="M312" s="32" t="str">
        <f aca="false">IF(OR($L312="",$J312=""),"",$L312+$J312-1)</f>
        <v/>
      </c>
      <c r="N312" s="32" t="str">
        <f aca="false">IF($A312="","",IF(OR($L312="",$M312=""),"",IF($M312&gt;10,"⚠ Saat Taşıyor","")))</f>
        <v/>
      </c>
      <c r="O312" s="32" t="str">
        <f aca="false">IF($A312="","",IF(OR($G312="",$H312="",$L312=""),"",IF(SUMPRODUCT(($A$7:$A$606&lt;&gt;"")*($G$7:$G$606=$G312)*($H$7:$H$606=$H312)*(ROW($A$7:$A$606)&lt;&gt;312)*($L$7:$L$606&lt;=$M312)*($M$7:$M$606&gt;=$L312))&gt;0,"⚠ Çakışma","OK")))</f>
        <v/>
      </c>
      <c r="P312" s="32" t="str">
        <f aca="false">IF($A312="","",IF(OR($K312="",$H312="",$L312=""),"",IF(SUMPRODUCT(($A$7:$A$606&lt;&gt;"")*($K$7:$K$606=$K312)*($H$7:$H$606=$H312)*(ROW($A$7:$A$606)&lt;&gt;312)*($L$7:$L$606&lt;=$M312)*($M$7:$M$606&gt;=$L312))&gt;0,"⚠ Çakışma","OK")))</f>
        <v/>
      </c>
      <c r="Q312" s="32" t="str">
        <f aca="false">IF($A312="","",IF(OR($E312="",$H312="",$L312=""),"",IF(SUMPRODUCT(($A$7:$A$606&lt;&gt;"")*($E$7:$E$606=$E312)*($H$7:$H$606=$H312)*(ROW($A$7:$A$606)&lt;&gt;312)*($L$7:$L$606&lt;=$M312)*($M$7:$M$606&gt;=$L312))&gt;0,"⚠ Çakışma","OK")))</f>
        <v/>
      </c>
      <c r="R312" s="32" t="str">
        <f aca="false">IF($A312="","",IF(OR($N312&lt;&gt;"",$O312="⚠ Çakışma",$P312="⚠ Çakışma",$Q312="⚠ Çakışma"),"⚠ Kontrol Et","✓ Uygun"))</f>
        <v/>
      </c>
    </row>
    <row r="313" customFormat="false" ht="13.5" hidden="false" customHeight="true" outlineLevel="0" collapsed="false">
      <c r="A313" s="32" t="str">
        <f aca="false">IF('2-Gastronomi'!A110="","","Gastronomi ve Mutfak Sanatları")</f>
        <v/>
      </c>
      <c r="B313" s="32" t="str">
        <f aca="false">IF($A313="","",IF('2-Gastronomi'!A110="","",'2-Gastronomi'!A110))</f>
        <v/>
      </c>
      <c r="C313" s="33" t="str">
        <f aca="false">IF($A313="","",IF('2-Gastronomi'!B110="","",'2-Gastronomi'!B110))</f>
        <v/>
      </c>
      <c r="D313" s="32" t="str">
        <f aca="false">IF($A313="","",IF('2-Gastronomi'!C110="","",'2-Gastronomi'!C110))</f>
        <v/>
      </c>
      <c r="E313" s="32" t="str">
        <f aca="false">IF($A313="","",$A313&amp;"-"&amp;$D313)</f>
        <v/>
      </c>
      <c r="F313" s="32" t="str">
        <f aca="false">IF($A313="","",IF('2-Gastronomi'!D110="","",'2-Gastronomi'!D110))</f>
        <v/>
      </c>
      <c r="G313" s="32" t="str">
        <f aca="false">IF($A313="","",IF('2-Gastronomi'!E110="","",'2-Gastronomi'!E110))</f>
        <v/>
      </c>
      <c r="H313" s="32" t="str">
        <f aca="false">IF($A313="","",IF('2-Gastronomi'!F110="","",'2-Gastronomi'!F110))</f>
        <v/>
      </c>
      <c r="I313" s="32" t="str">
        <f aca="false">IF($A313="","",IF('2-Gastronomi'!G110="","",'2-Gastronomi'!G110))</f>
        <v/>
      </c>
      <c r="J313" s="32" t="str">
        <f aca="false">IF($A313="","",IF('2-Gastronomi'!H110="","",'2-Gastronomi'!H110))</f>
        <v/>
      </c>
      <c r="K313" s="32" t="str">
        <f aca="false">IF($A313="","",IF('2-Gastronomi'!I110="","",'2-Gastronomi'!I110))</f>
        <v/>
      </c>
      <c r="L313" s="32" t="str">
        <f aca="false">IF($I313="","",MATCH($I313,{"08.00";"09.00";"10.00";"11.00";"12.00";"13.00";"14.00";"15.00";"16.00";"17.00"},0))</f>
        <v/>
      </c>
      <c r="M313" s="32" t="str">
        <f aca="false">IF(OR($L313="",$J313=""),"",$L313+$J313-1)</f>
        <v/>
      </c>
      <c r="N313" s="32" t="str">
        <f aca="false">IF($A313="","",IF(OR($L313="",$M313=""),"",IF($M313&gt;10,"⚠ Saat Taşıyor","")))</f>
        <v/>
      </c>
      <c r="O313" s="32" t="str">
        <f aca="false">IF($A313="","",IF(OR($G313="",$H313="",$L313=""),"",IF(SUMPRODUCT(($A$7:$A$606&lt;&gt;"")*($G$7:$G$606=$G313)*($H$7:$H$606=$H313)*(ROW($A$7:$A$606)&lt;&gt;313)*($L$7:$L$606&lt;=$M313)*($M$7:$M$606&gt;=$L313))&gt;0,"⚠ Çakışma","OK")))</f>
        <v/>
      </c>
      <c r="P313" s="32" t="str">
        <f aca="false">IF($A313="","",IF(OR($K313="",$H313="",$L313=""),"",IF(SUMPRODUCT(($A$7:$A$606&lt;&gt;"")*($K$7:$K$606=$K313)*($H$7:$H$606=$H313)*(ROW($A$7:$A$606)&lt;&gt;313)*($L$7:$L$606&lt;=$M313)*($M$7:$M$606&gt;=$L313))&gt;0,"⚠ Çakışma","OK")))</f>
        <v/>
      </c>
      <c r="Q313" s="32" t="str">
        <f aca="false">IF($A313="","",IF(OR($E313="",$H313="",$L313=""),"",IF(SUMPRODUCT(($A$7:$A$606&lt;&gt;"")*($E$7:$E$606=$E313)*($H$7:$H$606=$H313)*(ROW($A$7:$A$606)&lt;&gt;313)*($L$7:$L$606&lt;=$M313)*($M$7:$M$606&gt;=$L313))&gt;0,"⚠ Çakışma","OK")))</f>
        <v/>
      </c>
      <c r="R313" s="32" t="str">
        <f aca="false">IF($A313="","",IF(OR($N313&lt;&gt;"",$O313="⚠ Çakışma",$P313="⚠ Çakışma",$Q313="⚠ Çakışma"),"⚠ Kontrol Et","✓ Uygun"))</f>
        <v/>
      </c>
    </row>
    <row r="314" customFormat="false" ht="13.5" hidden="false" customHeight="true" outlineLevel="0" collapsed="false">
      <c r="A314" s="32" t="str">
        <f aca="false">IF('2-Gastronomi'!A111="","","Gastronomi ve Mutfak Sanatları")</f>
        <v/>
      </c>
      <c r="B314" s="32" t="str">
        <f aca="false">IF($A314="","",IF('2-Gastronomi'!A111="","",'2-Gastronomi'!A111))</f>
        <v/>
      </c>
      <c r="C314" s="33" t="str">
        <f aca="false">IF($A314="","",IF('2-Gastronomi'!B111="","",'2-Gastronomi'!B111))</f>
        <v/>
      </c>
      <c r="D314" s="32" t="str">
        <f aca="false">IF($A314="","",IF('2-Gastronomi'!C111="","",'2-Gastronomi'!C111))</f>
        <v/>
      </c>
      <c r="E314" s="32" t="str">
        <f aca="false">IF($A314="","",$A314&amp;"-"&amp;$D314)</f>
        <v/>
      </c>
      <c r="F314" s="32" t="str">
        <f aca="false">IF($A314="","",IF('2-Gastronomi'!D111="","",'2-Gastronomi'!D111))</f>
        <v/>
      </c>
      <c r="G314" s="32" t="str">
        <f aca="false">IF($A314="","",IF('2-Gastronomi'!E111="","",'2-Gastronomi'!E111))</f>
        <v/>
      </c>
      <c r="H314" s="32" t="str">
        <f aca="false">IF($A314="","",IF('2-Gastronomi'!F111="","",'2-Gastronomi'!F111))</f>
        <v/>
      </c>
      <c r="I314" s="32" t="str">
        <f aca="false">IF($A314="","",IF('2-Gastronomi'!G111="","",'2-Gastronomi'!G111))</f>
        <v/>
      </c>
      <c r="J314" s="32" t="str">
        <f aca="false">IF($A314="","",IF('2-Gastronomi'!H111="","",'2-Gastronomi'!H111))</f>
        <v/>
      </c>
      <c r="K314" s="32" t="str">
        <f aca="false">IF($A314="","",IF('2-Gastronomi'!I111="","",'2-Gastronomi'!I111))</f>
        <v/>
      </c>
      <c r="L314" s="32" t="str">
        <f aca="false">IF($I314="","",MATCH($I314,{"08.00";"09.00";"10.00";"11.00";"12.00";"13.00";"14.00";"15.00";"16.00";"17.00"},0))</f>
        <v/>
      </c>
      <c r="M314" s="32" t="str">
        <f aca="false">IF(OR($L314="",$J314=""),"",$L314+$J314-1)</f>
        <v/>
      </c>
      <c r="N314" s="32" t="str">
        <f aca="false">IF($A314="","",IF(OR($L314="",$M314=""),"",IF($M314&gt;10,"⚠ Saat Taşıyor","")))</f>
        <v/>
      </c>
      <c r="O314" s="32" t="str">
        <f aca="false">IF($A314="","",IF(OR($G314="",$H314="",$L314=""),"",IF(SUMPRODUCT(($A$7:$A$606&lt;&gt;"")*($G$7:$G$606=$G314)*($H$7:$H$606=$H314)*(ROW($A$7:$A$606)&lt;&gt;314)*($L$7:$L$606&lt;=$M314)*($M$7:$M$606&gt;=$L314))&gt;0,"⚠ Çakışma","OK")))</f>
        <v/>
      </c>
      <c r="P314" s="32" t="str">
        <f aca="false">IF($A314="","",IF(OR($K314="",$H314="",$L314=""),"",IF(SUMPRODUCT(($A$7:$A$606&lt;&gt;"")*($K$7:$K$606=$K314)*($H$7:$H$606=$H314)*(ROW($A$7:$A$606)&lt;&gt;314)*($L$7:$L$606&lt;=$M314)*($M$7:$M$606&gt;=$L314))&gt;0,"⚠ Çakışma","OK")))</f>
        <v/>
      </c>
      <c r="Q314" s="32" t="str">
        <f aca="false">IF($A314="","",IF(OR($E314="",$H314="",$L314=""),"",IF(SUMPRODUCT(($A$7:$A$606&lt;&gt;"")*($E$7:$E$606=$E314)*($H$7:$H$606=$H314)*(ROW($A$7:$A$606)&lt;&gt;314)*($L$7:$L$606&lt;=$M314)*($M$7:$M$606&gt;=$L314))&gt;0,"⚠ Çakışma","OK")))</f>
        <v/>
      </c>
      <c r="R314" s="32" t="str">
        <f aca="false">IF($A314="","",IF(OR($N314&lt;&gt;"",$O314="⚠ Çakışma",$P314="⚠ Çakışma",$Q314="⚠ Çakışma"),"⚠ Kontrol Et","✓ Uygun"))</f>
        <v/>
      </c>
    </row>
    <row r="315" customFormat="false" ht="13.5" hidden="false" customHeight="true" outlineLevel="0" collapsed="false">
      <c r="A315" s="32" t="str">
        <f aca="false">IF('2-Gastronomi'!A112="","","Gastronomi ve Mutfak Sanatları")</f>
        <v/>
      </c>
      <c r="B315" s="32" t="str">
        <f aca="false">IF($A315="","",IF('2-Gastronomi'!A112="","",'2-Gastronomi'!A112))</f>
        <v/>
      </c>
      <c r="C315" s="33" t="str">
        <f aca="false">IF($A315="","",IF('2-Gastronomi'!B112="","",'2-Gastronomi'!B112))</f>
        <v/>
      </c>
      <c r="D315" s="32" t="str">
        <f aca="false">IF($A315="","",IF('2-Gastronomi'!C112="","",'2-Gastronomi'!C112))</f>
        <v/>
      </c>
      <c r="E315" s="32" t="str">
        <f aca="false">IF($A315="","",$A315&amp;"-"&amp;$D315)</f>
        <v/>
      </c>
      <c r="F315" s="32" t="str">
        <f aca="false">IF($A315="","",IF('2-Gastronomi'!D112="","",'2-Gastronomi'!D112))</f>
        <v/>
      </c>
      <c r="G315" s="32" t="str">
        <f aca="false">IF($A315="","",IF('2-Gastronomi'!E112="","",'2-Gastronomi'!E112))</f>
        <v/>
      </c>
      <c r="H315" s="32" t="str">
        <f aca="false">IF($A315="","",IF('2-Gastronomi'!F112="","",'2-Gastronomi'!F112))</f>
        <v/>
      </c>
      <c r="I315" s="32" t="str">
        <f aca="false">IF($A315="","",IF('2-Gastronomi'!G112="","",'2-Gastronomi'!G112))</f>
        <v/>
      </c>
      <c r="J315" s="32" t="str">
        <f aca="false">IF($A315="","",IF('2-Gastronomi'!H112="","",'2-Gastronomi'!H112))</f>
        <v/>
      </c>
      <c r="K315" s="32" t="str">
        <f aca="false">IF($A315="","",IF('2-Gastronomi'!I112="","",'2-Gastronomi'!I112))</f>
        <v/>
      </c>
      <c r="L315" s="32" t="str">
        <f aca="false">IF($I315="","",MATCH($I315,{"08.00";"09.00";"10.00";"11.00";"12.00";"13.00";"14.00";"15.00";"16.00";"17.00"},0))</f>
        <v/>
      </c>
      <c r="M315" s="32" t="str">
        <f aca="false">IF(OR($L315="",$J315=""),"",$L315+$J315-1)</f>
        <v/>
      </c>
      <c r="N315" s="32" t="str">
        <f aca="false">IF($A315="","",IF(OR($L315="",$M315=""),"",IF($M315&gt;10,"⚠ Saat Taşıyor","")))</f>
        <v/>
      </c>
      <c r="O315" s="32" t="str">
        <f aca="false">IF($A315="","",IF(OR($G315="",$H315="",$L315=""),"",IF(SUMPRODUCT(($A$7:$A$606&lt;&gt;"")*($G$7:$G$606=$G315)*($H$7:$H$606=$H315)*(ROW($A$7:$A$606)&lt;&gt;315)*($L$7:$L$606&lt;=$M315)*($M$7:$M$606&gt;=$L315))&gt;0,"⚠ Çakışma","OK")))</f>
        <v/>
      </c>
      <c r="P315" s="32" t="str">
        <f aca="false">IF($A315="","",IF(OR($K315="",$H315="",$L315=""),"",IF(SUMPRODUCT(($A$7:$A$606&lt;&gt;"")*($K$7:$K$606=$K315)*($H$7:$H$606=$H315)*(ROW($A$7:$A$606)&lt;&gt;315)*($L$7:$L$606&lt;=$M315)*($M$7:$M$606&gt;=$L315))&gt;0,"⚠ Çakışma","OK")))</f>
        <v/>
      </c>
      <c r="Q315" s="32" t="str">
        <f aca="false">IF($A315="","",IF(OR($E315="",$H315="",$L315=""),"",IF(SUMPRODUCT(($A$7:$A$606&lt;&gt;"")*($E$7:$E$606=$E315)*($H$7:$H$606=$H315)*(ROW($A$7:$A$606)&lt;&gt;315)*($L$7:$L$606&lt;=$M315)*($M$7:$M$606&gt;=$L315))&gt;0,"⚠ Çakışma","OK")))</f>
        <v/>
      </c>
      <c r="R315" s="32" t="str">
        <f aca="false">IF($A315="","",IF(OR($N315&lt;&gt;"",$O315="⚠ Çakışma",$P315="⚠ Çakışma",$Q315="⚠ Çakışma"),"⚠ Kontrol Et","✓ Uygun"))</f>
        <v/>
      </c>
    </row>
    <row r="316" customFormat="false" ht="13.5" hidden="false" customHeight="true" outlineLevel="0" collapsed="false">
      <c r="A316" s="32" t="str">
        <f aca="false">IF('2-Gastronomi'!A113="","","Gastronomi ve Mutfak Sanatları")</f>
        <v/>
      </c>
      <c r="B316" s="32" t="str">
        <f aca="false">IF($A316="","",IF('2-Gastronomi'!A113="","",'2-Gastronomi'!A113))</f>
        <v/>
      </c>
      <c r="C316" s="33" t="str">
        <f aca="false">IF($A316="","",IF('2-Gastronomi'!B113="","",'2-Gastronomi'!B113))</f>
        <v/>
      </c>
      <c r="D316" s="32" t="str">
        <f aca="false">IF($A316="","",IF('2-Gastronomi'!C113="","",'2-Gastronomi'!C113))</f>
        <v/>
      </c>
      <c r="E316" s="32" t="str">
        <f aca="false">IF($A316="","",$A316&amp;"-"&amp;$D316)</f>
        <v/>
      </c>
      <c r="F316" s="32" t="str">
        <f aca="false">IF($A316="","",IF('2-Gastronomi'!D113="","",'2-Gastronomi'!D113))</f>
        <v/>
      </c>
      <c r="G316" s="32" t="str">
        <f aca="false">IF($A316="","",IF('2-Gastronomi'!E113="","",'2-Gastronomi'!E113))</f>
        <v/>
      </c>
      <c r="H316" s="32" t="str">
        <f aca="false">IF($A316="","",IF('2-Gastronomi'!F113="","",'2-Gastronomi'!F113))</f>
        <v/>
      </c>
      <c r="I316" s="32" t="str">
        <f aca="false">IF($A316="","",IF('2-Gastronomi'!G113="","",'2-Gastronomi'!G113))</f>
        <v/>
      </c>
      <c r="J316" s="32" t="str">
        <f aca="false">IF($A316="","",IF('2-Gastronomi'!H113="","",'2-Gastronomi'!H113))</f>
        <v/>
      </c>
      <c r="K316" s="32" t="str">
        <f aca="false">IF($A316="","",IF('2-Gastronomi'!I113="","",'2-Gastronomi'!I113))</f>
        <v/>
      </c>
      <c r="L316" s="32" t="str">
        <f aca="false">IF($I316="","",MATCH($I316,{"08.00";"09.00";"10.00";"11.00";"12.00";"13.00";"14.00";"15.00";"16.00";"17.00"},0))</f>
        <v/>
      </c>
      <c r="M316" s="32" t="str">
        <f aca="false">IF(OR($L316="",$J316=""),"",$L316+$J316-1)</f>
        <v/>
      </c>
      <c r="N316" s="32" t="str">
        <f aca="false">IF($A316="","",IF(OR($L316="",$M316=""),"",IF($M316&gt;10,"⚠ Saat Taşıyor","")))</f>
        <v/>
      </c>
      <c r="O316" s="32" t="str">
        <f aca="false">IF($A316="","",IF(OR($G316="",$H316="",$L316=""),"",IF(SUMPRODUCT(($A$7:$A$606&lt;&gt;"")*($G$7:$G$606=$G316)*($H$7:$H$606=$H316)*(ROW($A$7:$A$606)&lt;&gt;316)*($L$7:$L$606&lt;=$M316)*($M$7:$M$606&gt;=$L316))&gt;0,"⚠ Çakışma","OK")))</f>
        <v/>
      </c>
      <c r="P316" s="32" t="str">
        <f aca="false">IF($A316="","",IF(OR($K316="",$H316="",$L316=""),"",IF(SUMPRODUCT(($A$7:$A$606&lt;&gt;"")*($K$7:$K$606=$K316)*($H$7:$H$606=$H316)*(ROW($A$7:$A$606)&lt;&gt;316)*($L$7:$L$606&lt;=$M316)*($M$7:$M$606&gt;=$L316))&gt;0,"⚠ Çakışma","OK")))</f>
        <v/>
      </c>
      <c r="Q316" s="32" t="str">
        <f aca="false">IF($A316="","",IF(OR($E316="",$H316="",$L316=""),"",IF(SUMPRODUCT(($A$7:$A$606&lt;&gt;"")*($E$7:$E$606=$E316)*($H$7:$H$606=$H316)*(ROW($A$7:$A$606)&lt;&gt;316)*($L$7:$L$606&lt;=$M316)*($M$7:$M$606&gt;=$L316))&gt;0,"⚠ Çakışma","OK")))</f>
        <v/>
      </c>
      <c r="R316" s="32" t="str">
        <f aca="false">IF($A316="","",IF(OR($N316&lt;&gt;"",$O316="⚠ Çakışma",$P316="⚠ Çakışma",$Q316="⚠ Çakışma"),"⚠ Kontrol Et","✓ Uygun"))</f>
        <v/>
      </c>
    </row>
    <row r="317" customFormat="false" ht="13.5" hidden="false" customHeight="true" outlineLevel="0" collapsed="false">
      <c r="A317" s="32" t="str">
        <f aca="false">IF('2-Gastronomi'!A114="","","Gastronomi ve Mutfak Sanatları")</f>
        <v/>
      </c>
      <c r="B317" s="32" t="str">
        <f aca="false">IF($A317="","",IF('2-Gastronomi'!A114="","",'2-Gastronomi'!A114))</f>
        <v/>
      </c>
      <c r="C317" s="33" t="str">
        <f aca="false">IF($A317="","",IF('2-Gastronomi'!B114="","",'2-Gastronomi'!B114))</f>
        <v/>
      </c>
      <c r="D317" s="32" t="str">
        <f aca="false">IF($A317="","",IF('2-Gastronomi'!C114="","",'2-Gastronomi'!C114))</f>
        <v/>
      </c>
      <c r="E317" s="32" t="str">
        <f aca="false">IF($A317="","",$A317&amp;"-"&amp;$D317)</f>
        <v/>
      </c>
      <c r="F317" s="32" t="str">
        <f aca="false">IF($A317="","",IF('2-Gastronomi'!D114="","",'2-Gastronomi'!D114))</f>
        <v/>
      </c>
      <c r="G317" s="32" t="str">
        <f aca="false">IF($A317="","",IF('2-Gastronomi'!E114="","",'2-Gastronomi'!E114))</f>
        <v/>
      </c>
      <c r="H317" s="32" t="str">
        <f aca="false">IF($A317="","",IF('2-Gastronomi'!F114="","",'2-Gastronomi'!F114))</f>
        <v/>
      </c>
      <c r="I317" s="32" t="str">
        <f aca="false">IF($A317="","",IF('2-Gastronomi'!G114="","",'2-Gastronomi'!G114))</f>
        <v/>
      </c>
      <c r="J317" s="32" t="str">
        <f aca="false">IF($A317="","",IF('2-Gastronomi'!H114="","",'2-Gastronomi'!H114))</f>
        <v/>
      </c>
      <c r="K317" s="32" t="str">
        <f aca="false">IF($A317="","",IF('2-Gastronomi'!I114="","",'2-Gastronomi'!I114))</f>
        <v/>
      </c>
      <c r="L317" s="32" t="str">
        <f aca="false">IF($I317="","",MATCH($I317,{"08.00";"09.00";"10.00";"11.00";"12.00";"13.00";"14.00";"15.00";"16.00";"17.00"},0))</f>
        <v/>
      </c>
      <c r="M317" s="32" t="str">
        <f aca="false">IF(OR($L317="",$J317=""),"",$L317+$J317-1)</f>
        <v/>
      </c>
      <c r="N317" s="32" t="str">
        <f aca="false">IF($A317="","",IF(OR($L317="",$M317=""),"",IF($M317&gt;10,"⚠ Saat Taşıyor","")))</f>
        <v/>
      </c>
      <c r="O317" s="32" t="str">
        <f aca="false">IF($A317="","",IF(OR($G317="",$H317="",$L317=""),"",IF(SUMPRODUCT(($A$7:$A$606&lt;&gt;"")*($G$7:$G$606=$G317)*($H$7:$H$606=$H317)*(ROW($A$7:$A$606)&lt;&gt;317)*($L$7:$L$606&lt;=$M317)*($M$7:$M$606&gt;=$L317))&gt;0,"⚠ Çakışma","OK")))</f>
        <v/>
      </c>
      <c r="P317" s="32" t="str">
        <f aca="false">IF($A317="","",IF(OR($K317="",$H317="",$L317=""),"",IF(SUMPRODUCT(($A$7:$A$606&lt;&gt;"")*($K$7:$K$606=$K317)*($H$7:$H$606=$H317)*(ROW($A$7:$A$606)&lt;&gt;317)*($L$7:$L$606&lt;=$M317)*($M$7:$M$606&gt;=$L317))&gt;0,"⚠ Çakışma","OK")))</f>
        <v/>
      </c>
      <c r="Q317" s="32" t="str">
        <f aca="false">IF($A317="","",IF(OR($E317="",$H317="",$L317=""),"",IF(SUMPRODUCT(($A$7:$A$606&lt;&gt;"")*($E$7:$E$606=$E317)*($H$7:$H$606=$H317)*(ROW($A$7:$A$606)&lt;&gt;317)*($L$7:$L$606&lt;=$M317)*($M$7:$M$606&gt;=$L317))&gt;0,"⚠ Çakışma","OK")))</f>
        <v/>
      </c>
      <c r="R317" s="32" t="str">
        <f aca="false">IF($A317="","",IF(OR($N317&lt;&gt;"",$O317="⚠ Çakışma",$P317="⚠ Çakışma",$Q317="⚠ Çakışma"),"⚠ Kontrol Et","✓ Uygun"))</f>
        <v/>
      </c>
    </row>
    <row r="318" customFormat="false" ht="13.5" hidden="false" customHeight="true" outlineLevel="0" collapsed="false">
      <c r="A318" s="32" t="str">
        <f aca="false">IF('2-Gastronomi'!A115="","","Gastronomi ve Mutfak Sanatları")</f>
        <v/>
      </c>
      <c r="B318" s="32" t="str">
        <f aca="false">IF($A318="","",IF('2-Gastronomi'!A115="","",'2-Gastronomi'!A115))</f>
        <v/>
      </c>
      <c r="C318" s="33" t="str">
        <f aca="false">IF($A318="","",IF('2-Gastronomi'!B115="","",'2-Gastronomi'!B115))</f>
        <v/>
      </c>
      <c r="D318" s="32" t="str">
        <f aca="false">IF($A318="","",IF('2-Gastronomi'!C115="","",'2-Gastronomi'!C115))</f>
        <v/>
      </c>
      <c r="E318" s="32" t="str">
        <f aca="false">IF($A318="","",$A318&amp;"-"&amp;$D318)</f>
        <v/>
      </c>
      <c r="F318" s="32" t="str">
        <f aca="false">IF($A318="","",IF('2-Gastronomi'!D115="","",'2-Gastronomi'!D115))</f>
        <v/>
      </c>
      <c r="G318" s="32" t="str">
        <f aca="false">IF($A318="","",IF('2-Gastronomi'!E115="","",'2-Gastronomi'!E115))</f>
        <v/>
      </c>
      <c r="H318" s="32" t="str">
        <f aca="false">IF($A318="","",IF('2-Gastronomi'!F115="","",'2-Gastronomi'!F115))</f>
        <v/>
      </c>
      <c r="I318" s="32" t="str">
        <f aca="false">IF($A318="","",IF('2-Gastronomi'!G115="","",'2-Gastronomi'!G115))</f>
        <v/>
      </c>
      <c r="J318" s="32" t="str">
        <f aca="false">IF($A318="","",IF('2-Gastronomi'!H115="","",'2-Gastronomi'!H115))</f>
        <v/>
      </c>
      <c r="K318" s="32" t="str">
        <f aca="false">IF($A318="","",IF('2-Gastronomi'!I115="","",'2-Gastronomi'!I115))</f>
        <v/>
      </c>
      <c r="L318" s="32" t="str">
        <f aca="false">IF($I318="","",MATCH($I318,{"08.00";"09.00";"10.00";"11.00";"12.00";"13.00";"14.00";"15.00";"16.00";"17.00"},0))</f>
        <v/>
      </c>
      <c r="M318" s="32" t="str">
        <f aca="false">IF(OR($L318="",$J318=""),"",$L318+$J318-1)</f>
        <v/>
      </c>
      <c r="N318" s="32" t="str">
        <f aca="false">IF($A318="","",IF(OR($L318="",$M318=""),"",IF($M318&gt;10,"⚠ Saat Taşıyor","")))</f>
        <v/>
      </c>
      <c r="O318" s="32" t="str">
        <f aca="false">IF($A318="","",IF(OR($G318="",$H318="",$L318=""),"",IF(SUMPRODUCT(($A$7:$A$606&lt;&gt;"")*($G$7:$G$606=$G318)*($H$7:$H$606=$H318)*(ROW($A$7:$A$606)&lt;&gt;318)*($L$7:$L$606&lt;=$M318)*($M$7:$M$606&gt;=$L318))&gt;0,"⚠ Çakışma","OK")))</f>
        <v/>
      </c>
      <c r="P318" s="32" t="str">
        <f aca="false">IF($A318="","",IF(OR($K318="",$H318="",$L318=""),"",IF(SUMPRODUCT(($A$7:$A$606&lt;&gt;"")*($K$7:$K$606=$K318)*($H$7:$H$606=$H318)*(ROW($A$7:$A$606)&lt;&gt;318)*($L$7:$L$606&lt;=$M318)*($M$7:$M$606&gt;=$L318))&gt;0,"⚠ Çakışma","OK")))</f>
        <v/>
      </c>
      <c r="Q318" s="32" t="str">
        <f aca="false">IF($A318="","",IF(OR($E318="",$H318="",$L318=""),"",IF(SUMPRODUCT(($A$7:$A$606&lt;&gt;"")*($E$7:$E$606=$E318)*($H$7:$H$606=$H318)*(ROW($A$7:$A$606)&lt;&gt;318)*($L$7:$L$606&lt;=$M318)*($M$7:$M$606&gt;=$L318))&gt;0,"⚠ Çakışma","OK")))</f>
        <v/>
      </c>
      <c r="R318" s="32" t="str">
        <f aca="false">IF($A318="","",IF(OR($N318&lt;&gt;"",$O318="⚠ Çakışma",$P318="⚠ Çakışma",$Q318="⚠ Çakışma"),"⚠ Kontrol Et","✓ Uygun"))</f>
        <v/>
      </c>
    </row>
    <row r="319" customFormat="false" ht="13.5" hidden="false" customHeight="true" outlineLevel="0" collapsed="false">
      <c r="A319" s="32" t="str">
        <f aca="false">IF('2-Gastronomi'!A116="","","Gastronomi ve Mutfak Sanatları")</f>
        <v/>
      </c>
      <c r="B319" s="32" t="str">
        <f aca="false">IF($A319="","",IF('2-Gastronomi'!A116="","",'2-Gastronomi'!A116))</f>
        <v/>
      </c>
      <c r="C319" s="33" t="str">
        <f aca="false">IF($A319="","",IF('2-Gastronomi'!B116="","",'2-Gastronomi'!B116))</f>
        <v/>
      </c>
      <c r="D319" s="32" t="str">
        <f aca="false">IF($A319="","",IF('2-Gastronomi'!C116="","",'2-Gastronomi'!C116))</f>
        <v/>
      </c>
      <c r="E319" s="32" t="str">
        <f aca="false">IF($A319="","",$A319&amp;"-"&amp;$D319)</f>
        <v/>
      </c>
      <c r="F319" s="32" t="str">
        <f aca="false">IF($A319="","",IF('2-Gastronomi'!D116="","",'2-Gastronomi'!D116))</f>
        <v/>
      </c>
      <c r="G319" s="32" t="str">
        <f aca="false">IF($A319="","",IF('2-Gastronomi'!E116="","",'2-Gastronomi'!E116))</f>
        <v/>
      </c>
      <c r="H319" s="32" t="str">
        <f aca="false">IF($A319="","",IF('2-Gastronomi'!F116="","",'2-Gastronomi'!F116))</f>
        <v/>
      </c>
      <c r="I319" s="32" t="str">
        <f aca="false">IF($A319="","",IF('2-Gastronomi'!G116="","",'2-Gastronomi'!G116))</f>
        <v/>
      </c>
      <c r="J319" s="32" t="str">
        <f aca="false">IF($A319="","",IF('2-Gastronomi'!H116="","",'2-Gastronomi'!H116))</f>
        <v/>
      </c>
      <c r="K319" s="32" t="str">
        <f aca="false">IF($A319="","",IF('2-Gastronomi'!I116="","",'2-Gastronomi'!I116))</f>
        <v/>
      </c>
      <c r="L319" s="32" t="str">
        <f aca="false">IF($I319="","",MATCH($I319,{"08.00";"09.00";"10.00";"11.00";"12.00";"13.00";"14.00";"15.00";"16.00";"17.00"},0))</f>
        <v/>
      </c>
      <c r="M319" s="32" t="str">
        <f aca="false">IF(OR($L319="",$J319=""),"",$L319+$J319-1)</f>
        <v/>
      </c>
      <c r="N319" s="32" t="str">
        <f aca="false">IF($A319="","",IF(OR($L319="",$M319=""),"",IF($M319&gt;10,"⚠ Saat Taşıyor","")))</f>
        <v/>
      </c>
      <c r="O319" s="32" t="str">
        <f aca="false">IF($A319="","",IF(OR($G319="",$H319="",$L319=""),"",IF(SUMPRODUCT(($A$7:$A$606&lt;&gt;"")*($G$7:$G$606=$G319)*($H$7:$H$606=$H319)*(ROW($A$7:$A$606)&lt;&gt;319)*($L$7:$L$606&lt;=$M319)*($M$7:$M$606&gt;=$L319))&gt;0,"⚠ Çakışma","OK")))</f>
        <v/>
      </c>
      <c r="P319" s="32" t="str">
        <f aca="false">IF($A319="","",IF(OR($K319="",$H319="",$L319=""),"",IF(SUMPRODUCT(($A$7:$A$606&lt;&gt;"")*($K$7:$K$606=$K319)*($H$7:$H$606=$H319)*(ROW($A$7:$A$606)&lt;&gt;319)*($L$7:$L$606&lt;=$M319)*($M$7:$M$606&gt;=$L319))&gt;0,"⚠ Çakışma","OK")))</f>
        <v/>
      </c>
      <c r="Q319" s="32" t="str">
        <f aca="false">IF($A319="","",IF(OR($E319="",$H319="",$L319=""),"",IF(SUMPRODUCT(($A$7:$A$606&lt;&gt;"")*($E$7:$E$606=$E319)*($H$7:$H$606=$H319)*(ROW($A$7:$A$606)&lt;&gt;319)*($L$7:$L$606&lt;=$M319)*($M$7:$M$606&gt;=$L319))&gt;0,"⚠ Çakışma","OK")))</f>
        <v/>
      </c>
      <c r="R319" s="32" t="str">
        <f aca="false">IF($A319="","",IF(OR($N319&lt;&gt;"",$O319="⚠ Çakışma",$P319="⚠ Çakışma",$Q319="⚠ Çakışma"),"⚠ Kontrol Et","✓ Uygun"))</f>
        <v/>
      </c>
    </row>
    <row r="320" customFormat="false" ht="13.5" hidden="false" customHeight="true" outlineLevel="0" collapsed="false">
      <c r="A320" s="32" t="str">
        <f aca="false">IF('2-Gastronomi'!A117="","","Gastronomi ve Mutfak Sanatları")</f>
        <v/>
      </c>
      <c r="B320" s="32" t="str">
        <f aca="false">IF($A320="","",IF('2-Gastronomi'!A117="","",'2-Gastronomi'!A117))</f>
        <v/>
      </c>
      <c r="C320" s="33" t="str">
        <f aca="false">IF($A320="","",IF('2-Gastronomi'!B117="","",'2-Gastronomi'!B117))</f>
        <v/>
      </c>
      <c r="D320" s="32" t="str">
        <f aca="false">IF($A320="","",IF('2-Gastronomi'!C117="","",'2-Gastronomi'!C117))</f>
        <v/>
      </c>
      <c r="E320" s="32" t="str">
        <f aca="false">IF($A320="","",$A320&amp;"-"&amp;$D320)</f>
        <v/>
      </c>
      <c r="F320" s="32" t="str">
        <f aca="false">IF($A320="","",IF('2-Gastronomi'!D117="","",'2-Gastronomi'!D117))</f>
        <v/>
      </c>
      <c r="G320" s="32" t="str">
        <f aca="false">IF($A320="","",IF('2-Gastronomi'!E117="","",'2-Gastronomi'!E117))</f>
        <v/>
      </c>
      <c r="H320" s="32" t="str">
        <f aca="false">IF($A320="","",IF('2-Gastronomi'!F117="","",'2-Gastronomi'!F117))</f>
        <v/>
      </c>
      <c r="I320" s="32" t="str">
        <f aca="false">IF($A320="","",IF('2-Gastronomi'!G117="","",'2-Gastronomi'!G117))</f>
        <v/>
      </c>
      <c r="J320" s="32" t="str">
        <f aca="false">IF($A320="","",IF('2-Gastronomi'!H117="","",'2-Gastronomi'!H117))</f>
        <v/>
      </c>
      <c r="K320" s="32" t="str">
        <f aca="false">IF($A320="","",IF('2-Gastronomi'!I117="","",'2-Gastronomi'!I117))</f>
        <v/>
      </c>
      <c r="L320" s="32" t="str">
        <f aca="false">IF($I320="","",MATCH($I320,{"08.00";"09.00";"10.00";"11.00";"12.00";"13.00";"14.00";"15.00";"16.00";"17.00"},0))</f>
        <v/>
      </c>
      <c r="M320" s="32" t="str">
        <f aca="false">IF(OR($L320="",$J320=""),"",$L320+$J320-1)</f>
        <v/>
      </c>
      <c r="N320" s="32" t="str">
        <f aca="false">IF($A320="","",IF(OR($L320="",$M320=""),"",IF($M320&gt;10,"⚠ Saat Taşıyor","")))</f>
        <v/>
      </c>
      <c r="O320" s="32" t="str">
        <f aca="false">IF($A320="","",IF(OR($G320="",$H320="",$L320=""),"",IF(SUMPRODUCT(($A$7:$A$606&lt;&gt;"")*($G$7:$G$606=$G320)*($H$7:$H$606=$H320)*(ROW($A$7:$A$606)&lt;&gt;320)*($L$7:$L$606&lt;=$M320)*($M$7:$M$606&gt;=$L320))&gt;0,"⚠ Çakışma","OK")))</f>
        <v/>
      </c>
      <c r="P320" s="32" t="str">
        <f aca="false">IF($A320="","",IF(OR($K320="",$H320="",$L320=""),"",IF(SUMPRODUCT(($A$7:$A$606&lt;&gt;"")*($K$7:$K$606=$K320)*($H$7:$H$606=$H320)*(ROW($A$7:$A$606)&lt;&gt;320)*($L$7:$L$606&lt;=$M320)*($M$7:$M$606&gt;=$L320))&gt;0,"⚠ Çakışma","OK")))</f>
        <v/>
      </c>
      <c r="Q320" s="32" t="str">
        <f aca="false">IF($A320="","",IF(OR($E320="",$H320="",$L320=""),"",IF(SUMPRODUCT(($A$7:$A$606&lt;&gt;"")*($E$7:$E$606=$E320)*($H$7:$H$606=$H320)*(ROW($A$7:$A$606)&lt;&gt;320)*($L$7:$L$606&lt;=$M320)*($M$7:$M$606&gt;=$L320))&gt;0,"⚠ Çakışma","OK")))</f>
        <v/>
      </c>
      <c r="R320" s="32" t="str">
        <f aca="false">IF($A320="","",IF(OR($N320&lt;&gt;"",$O320="⚠ Çakışma",$P320="⚠ Çakışma",$Q320="⚠ Çakışma"),"⚠ Kontrol Et","✓ Uygun"))</f>
        <v/>
      </c>
    </row>
    <row r="321" customFormat="false" ht="13.5" hidden="false" customHeight="true" outlineLevel="0" collapsed="false">
      <c r="A321" s="32" t="str">
        <f aca="false">IF('2-Gastronomi'!A118="","","Gastronomi ve Mutfak Sanatları")</f>
        <v/>
      </c>
      <c r="B321" s="32" t="str">
        <f aca="false">IF($A321="","",IF('2-Gastronomi'!A118="","",'2-Gastronomi'!A118))</f>
        <v/>
      </c>
      <c r="C321" s="33" t="str">
        <f aca="false">IF($A321="","",IF('2-Gastronomi'!B118="","",'2-Gastronomi'!B118))</f>
        <v/>
      </c>
      <c r="D321" s="32" t="str">
        <f aca="false">IF($A321="","",IF('2-Gastronomi'!C118="","",'2-Gastronomi'!C118))</f>
        <v/>
      </c>
      <c r="E321" s="32" t="str">
        <f aca="false">IF($A321="","",$A321&amp;"-"&amp;$D321)</f>
        <v/>
      </c>
      <c r="F321" s="32" t="str">
        <f aca="false">IF($A321="","",IF('2-Gastronomi'!D118="","",'2-Gastronomi'!D118))</f>
        <v/>
      </c>
      <c r="G321" s="32" t="str">
        <f aca="false">IF($A321="","",IF('2-Gastronomi'!E118="","",'2-Gastronomi'!E118))</f>
        <v/>
      </c>
      <c r="H321" s="32" t="str">
        <f aca="false">IF($A321="","",IF('2-Gastronomi'!F118="","",'2-Gastronomi'!F118))</f>
        <v/>
      </c>
      <c r="I321" s="32" t="str">
        <f aca="false">IF($A321="","",IF('2-Gastronomi'!G118="","",'2-Gastronomi'!G118))</f>
        <v/>
      </c>
      <c r="J321" s="32" t="str">
        <f aca="false">IF($A321="","",IF('2-Gastronomi'!H118="","",'2-Gastronomi'!H118))</f>
        <v/>
      </c>
      <c r="K321" s="32" t="str">
        <f aca="false">IF($A321="","",IF('2-Gastronomi'!I118="","",'2-Gastronomi'!I118))</f>
        <v/>
      </c>
      <c r="L321" s="32" t="str">
        <f aca="false">IF($I321="","",MATCH($I321,{"08.00";"09.00";"10.00";"11.00";"12.00";"13.00";"14.00";"15.00";"16.00";"17.00"},0))</f>
        <v/>
      </c>
      <c r="M321" s="32" t="str">
        <f aca="false">IF(OR($L321="",$J321=""),"",$L321+$J321-1)</f>
        <v/>
      </c>
      <c r="N321" s="32" t="str">
        <f aca="false">IF($A321="","",IF(OR($L321="",$M321=""),"",IF($M321&gt;10,"⚠ Saat Taşıyor","")))</f>
        <v/>
      </c>
      <c r="O321" s="32" t="str">
        <f aca="false">IF($A321="","",IF(OR($G321="",$H321="",$L321=""),"",IF(SUMPRODUCT(($A$7:$A$606&lt;&gt;"")*($G$7:$G$606=$G321)*($H$7:$H$606=$H321)*(ROW($A$7:$A$606)&lt;&gt;321)*($L$7:$L$606&lt;=$M321)*($M$7:$M$606&gt;=$L321))&gt;0,"⚠ Çakışma","OK")))</f>
        <v/>
      </c>
      <c r="P321" s="32" t="str">
        <f aca="false">IF($A321="","",IF(OR($K321="",$H321="",$L321=""),"",IF(SUMPRODUCT(($A$7:$A$606&lt;&gt;"")*($K$7:$K$606=$K321)*($H$7:$H$606=$H321)*(ROW($A$7:$A$606)&lt;&gt;321)*($L$7:$L$606&lt;=$M321)*($M$7:$M$606&gt;=$L321))&gt;0,"⚠ Çakışma","OK")))</f>
        <v/>
      </c>
      <c r="Q321" s="32" t="str">
        <f aca="false">IF($A321="","",IF(OR($E321="",$H321="",$L321=""),"",IF(SUMPRODUCT(($A$7:$A$606&lt;&gt;"")*($E$7:$E$606=$E321)*($H$7:$H$606=$H321)*(ROW($A$7:$A$606)&lt;&gt;321)*($L$7:$L$606&lt;=$M321)*($M$7:$M$606&gt;=$L321))&gt;0,"⚠ Çakışma","OK")))</f>
        <v/>
      </c>
      <c r="R321" s="32" t="str">
        <f aca="false">IF($A321="","",IF(OR($N321&lt;&gt;"",$O321="⚠ Çakışma",$P321="⚠ Çakışma",$Q321="⚠ Çakışma"),"⚠ Kontrol Et","✓ Uygun"))</f>
        <v/>
      </c>
    </row>
    <row r="322" customFormat="false" ht="13.5" hidden="false" customHeight="true" outlineLevel="0" collapsed="false">
      <c r="A322" s="32" t="str">
        <f aca="false">IF('2-Gastronomi'!A119="","","Gastronomi ve Mutfak Sanatları")</f>
        <v/>
      </c>
      <c r="B322" s="32" t="str">
        <f aca="false">IF($A322="","",IF('2-Gastronomi'!A119="","",'2-Gastronomi'!A119))</f>
        <v/>
      </c>
      <c r="C322" s="33" t="str">
        <f aca="false">IF($A322="","",IF('2-Gastronomi'!B119="","",'2-Gastronomi'!B119))</f>
        <v/>
      </c>
      <c r="D322" s="32" t="str">
        <f aca="false">IF($A322="","",IF('2-Gastronomi'!C119="","",'2-Gastronomi'!C119))</f>
        <v/>
      </c>
      <c r="E322" s="32" t="str">
        <f aca="false">IF($A322="","",$A322&amp;"-"&amp;$D322)</f>
        <v/>
      </c>
      <c r="F322" s="32" t="str">
        <f aca="false">IF($A322="","",IF('2-Gastronomi'!D119="","",'2-Gastronomi'!D119))</f>
        <v/>
      </c>
      <c r="G322" s="32" t="str">
        <f aca="false">IF($A322="","",IF('2-Gastronomi'!E119="","",'2-Gastronomi'!E119))</f>
        <v/>
      </c>
      <c r="H322" s="32" t="str">
        <f aca="false">IF($A322="","",IF('2-Gastronomi'!F119="","",'2-Gastronomi'!F119))</f>
        <v/>
      </c>
      <c r="I322" s="32" t="str">
        <f aca="false">IF($A322="","",IF('2-Gastronomi'!G119="","",'2-Gastronomi'!G119))</f>
        <v/>
      </c>
      <c r="J322" s="32" t="str">
        <f aca="false">IF($A322="","",IF('2-Gastronomi'!H119="","",'2-Gastronomi'!H119))</f>
        <v/>
      </c>
      <c r="K322" s="32" t="str">
        <f aca="false">IF($A322="","",IF('2-Gastronomi'!I119="","",'2-Gastronomi'!I119))</f>
        <v/>
      </c>
      <c r="L322" s="32" t="str">
        <f aca="false">IF($I322="","",MATCH($I322,{"08.00";"09.00";"10.00";"11.00";"12.00";"13.00";"14.00";"15.00";"16.00";"17.00"},0))</f>
        <v/>
      </c>
      <c r="M322" s="32" t="str">
        <f aca="false">IF(OR($L322="",$J322=""),"",$L322+$J322-1)</f>
        <v/>
      </c>
      <c r="N322" s="32" t="str">
        <f aca="false">IF($A322="","",IF(OR($L322="",$M322=""),"",IF($M322&gt;10,"⚠ Saat Taşıyor","")))</f>
        <v/>
      </c>
      <c r="O322" s="32" t="str">
        <f aca="false">IF($A322="","",IF(OR($G322="",$H322="",$L322=""),"",IF(SUMPRODUCT(($A$7:$A$606&lt;&gt;"")*($G$7:$G$606=$G322)*($H$7:$H$606=$H322)*(ROW($A$7:$A$606)&lt;&gt;322)*($L$7:$L$606&lt;=$M322)*($M$7:$M$606&gt;=$L322))&gt;0,"⚠ Çakışma","OK")))</f>
        <v/>
      </c>
      <c r="P322" s="32" t="str">
        <f aca="false">IF($A322="","",IF(OR($K322="",$H322="",$L322=""),"",IF(SUMPRODUCT(($A$7:$A$606&lt;&gt;"")*($K$7:$K$606=$K322)*($H$7:$H$606=$H322)*(ROW($A$7:$A$606)&lt;&gt;322)*($L$7:$L$606&lt;=$M322)*($M$7:$M$606&gt;=$L322))&gt;0,"⚠ Çakışma","OK")))</f>
        <v/>
      </c>
      <c r="Q322" s="32" t="str">
        <f aca="false">IF($A322="","",IF(OR($E322="",$H322="",$L322=""),"",IF(SUMPRODUCT(($A$7:$A$606&lt;&gt;"")*($E$7:$E$606=$E322)*($H$7:$H$606=$H322)*(ROW($A$7:$A$606)&lt;&gt;322)*($L$7:$L$606&lt;=$M322)*($M$7:$M$606&gt;=$L322))&gt;0,"⚠ Çakışma","OK")))</f>
        <v/>
      </c>
      <c r="R322" s="32" t="str">
        <f aca="false">IF($A322="","",IF(OR($N322&lt;&gt;"",$O322="⚠ Çakışma",$P322="⚠ Çakışma",$Q322="⚠ Çakışma"),"⚠ Kontrol Et","✓ Uygun"))</f>
        <v/>
      </c>
    </row>
    <row r="323" customFormat="false" ht="13.5" hidden="false" customHeight="true" outlineLevel="0" collapsed="false">
      <c r="A323" s="32" t="str">
        <f aca="false">IF('2-Gastronomi'!A120="","","Gastronomi ve Mutfak Sanatları")</f>
        <v/>
      </c>
      <c r="B323" s="32" t="str">
        <f aca="false">IF($A323="","",IF('2-Gastronomi'!A120="","",'2-Gastronomi'!A120))</f>
        <v/>
      </c>
      <c r="C323" s="33" t="str">
        <f aca="false">IF($A323="","",IF('2-Gastronomi'!B120="","",'2-Gastronomi'!B120))</f>
        <v/>
      </c>
      <c r="D323" s="32" t="str">
        <f aca="false">IF($A323="","",IF('2-Gastronomi'!C120="","",'2-Gastronomi'!C120))</f>
        <v/>
      </c>
      <c r="E323" s="32" t="str">
        <f aca="false">IF($A323="","",$A323&amp;"-"&amp;$D323)</f>
        <v/>
      </c>
      <c r="F323" s="32" t="str">
        <f aca="false">IF($A323="","",IF('2-Gastronomi'!D120="","",'2-Gastronomi'!D120))</f>
        <v/>
      </c>
      <c r="G323" s="32" t="str">
        <f aca="false">IF($A323="","",IF('2-Gastronomi'!E120="","",'2-Gastronomi'!E120))</f>
        <v/>
      </c>
      <c r="H323" s="32" t="str">
        <f aca="false">IF($A323="","",IF('2-Gastronomi'!F120="","",'2-Gastronomi'!F120))</f>
        <v/>
      </c>
      <c r="I323" s="32" t="str">
        <f aca="false">IF($A323="","",IF('2-Gastronomi'!G120="","",'2-Gastronomi'!G120))</f>
        <v/>
      </c>
      <c r="J323" s="32" t="str">
        <f aca="false">IF($A323="","",IF('2-Gastronomi'!H120="","",'2-Gastronomi'!H120))</f>
        <v/>
      </c>
      <c r="K323" s="32" t="str">
        <f aca="false">IF($A323="","",IF('2-Gastronomi'!I120="","",'2-Gastronomi'!I120))</f>
        <v/>
      </c>
      <c r="L323" s="32" t="str">
        <f aca="false">IF($I323="","",MATCH($I323,{"08.00";"09.00";"10.00";"11.00";"12.00";"13.00";"14.00";"15.00";"16.00";"17.00"},0))</f>
        <v/>
      </c>
      <c r="M323" s="32" t="str">
        <f aca="false">IF(OR($L323="",$J323=""),"",$L323+$J323-1)</f>
        <v/>
      </c>
      <c r="N323" s="32" t="str">
        <f aca="false">IF($A323="","",IF(OR($L323="",$M323=""),"",IF($M323&gt;10,"⚠ Saat Taşıyor","")))</f>
        <v/>
      </c>
      <c r="O323" s="32" t="str">
        <f aca="false">IF($A323="","",IF(OR($G323="",$H323="",$L323=""),"",IF(SUMPRODUCT(($A$7:$A$606&lt;&gt;"")*($G$7:$G$606=$G323)*($H$7:$H$606=$H323)*(ROW($A$7:$A$606)&lt;&gt;323)*($L$7:$L$606&lt;=$M323)*($M$7:$M$606&gt;=$L323))&gt;0,"⚠ Çakışma","OK")))</f>
        <v/>
      </c>
      <c r="P323" s="32" t="str">
        <f aca="false">IF($A323="","",IF(OR($K323="",$H323="",$L323=""),"",IF(SUMPRODUCT(($A$7:$A$606&lt;&gt;"")*($K$7:$K$606=$K323)*($H$7:$H$606=$H323)*(ROW($A$7:$A$606)&lt;&gt;323)*($L$7:$L$606&lt;=$M323)*($M$7:$M$606&gt;=$L323))&gt;0,"⚠ Çakışma","OK")))</f>
        <v/>
      </c>
      <c r="Q323" s="32" t="str">
        <f aca="false">IF($A323="","",IF(OR($E323="",$H323="",$L323=""),"",IF(SUMPRODUCT(($A$7:$A$606&lt;&gt;"")*($E$7:$E$606=$E323)*($H$7:$H$606=$H323)*(ROW($A$7:$A$606)&lt;&gt;323)*($L$7:$L$606&lt;=$M323)*($M$7:$M$606&gt;=$L323))&gt;0,"⚠ Çakışma","OK")))</f>
        <v/>
      </c>
      <c r="R323" s="32" t="str">
        <f aca="false">IF($A323="","",IF(OR($N323&lt;&gt;"",$O323="⚠ Çakışma",$P323="⚠ Çakışma",$Q323="⚠ Çakışma"),"⚠ Kontrol Et","✓ Uygun"))</f>
        <v/>
      </c>
    </row>
    <row r="324" customFormat="false" ht="13.5" hidden="false" customHeight="true" outlineLevel="0" collapsed="false">
      <c r="A324" s="32" t="str">
        <f aca="false">IF('2-Gastronomi'!A121="","","Gastronomi ve Mutfak Sanatları")</f>
        <v/>
      </c>
      <c r="B324" s="32" t="str">
        <f aca="false">IF($A324="","",IF('2-Gastronomi'!A121="","",'2-Gastronomi'!A121))</f>
        <v/>
      </c>
      <c r="C324" s="33" t="str">
        <f aca="false">IF($A324="","",IF('2-Gastronomi'!B121="","",'2-Gastronomi'!B121))</f>
        <v/>
      </c>
      <c r="D324" s="32" t="str">
        <f aca="false">IF($A324="","",IF('2-Gastronomi'!C121="","",'2-Gastronomi'!C121))</f>
        <v/>
      </c>
      <c r="E324" s="32" t="str">
        <f aca="false">IF($A324="","",$A324&amp;"-"&amp;$D324)</f>
        <v/>
      </c>
      <c r="F324" s="32" t="str">
        <f aca="false">IF($A324="","",IF('2-Gastronomi'!D121="","",'2-Gastronomi'!D121))</f>
        <v/>
      </c>
      <c r="G324" s="32" t="str">
        <f aca="false">IF($A324="","",IF('2-Gastronomi'!E121="","",'2-Gastronomi'!E121))</f>
        <v/>
      </c>
      <c r="H324" s="32" t="str">
        <f aca="false">IF($A324="","",IF('2-Gastronomi'!F121="","",'2-Gastronomi'!F121))</f>
        <v/>
      </c>
      <c r="I324" s="32" t="str">
        <f aca="false">IF($A324="","",IF('2-Gastronomi'!G121="","",'2-Gastronomi'!G121))</f>
        <v/>
      </c>
      <c r="J324" s="32" t="str">
        <f aca="false">IF($A324="","",IF('2-Gastronomi'!H121="","",'2-Gastronomi'!H121))</f>
        <v/>
      </c>
      <c r="K324" s="32" t="str">
        <f aca="false">IF($A324="","",IF('2-Gastronomi'!I121="","",'2-Gastronomi'!I121))</f>
        <v/>
      </c>
      <c r="L324" s="32" t="str">
        <f aca="false">IF($I324="","",MATCH($I324,{"08.00";"09.00";"10.00";"11.00";"12.00";"13.00";"14.00";"15.00";"16.00";"17.00"},0))</f>
        <v/>
      </c>
      <c r="M324" s="32" t="str">
        <f aca="false">IF(OR($L324="",$J324=""),"",$L324+$J324-1)</f>
        <v/>
      </c>
      <c r="N324" s="32" t="str">
        <f aca="false">IF($A324="","",IF(OR($L324="",$M324=""),"",IF($M324&gt;10,"⚠ Saat Taşıyor","")))</f>
        <v/>
      </c>
      <c r="O324" s="32" t="str">
        <f aca="false">IF($A324="","",IF(OR($G324="",$H324="",$L324=""),"",IF(SUMPRODUCT(($A$7:$A$606&lt;&gt;"")*($G$7:$G$606=$G324)*($H$7:$H$606=$H324)*(ROW($A$7:$A$606)&lt;&gt;324)*($L$7:$L$606&lt;=$M324)*($M$7:$M$606&gt;=$L324))&gt;0,"⚠ Çakışma","OK")))</f>
        <v/>
      </c>
      <c r="P324" s="32" t="str">
        <f aca="false">IF($A324="","",IF(OR($K324="",$H324="",$L324=""),"",IF(SUMPRODUCT(($A$7:$A$606&lt;&gt;"")*($K$7:$K$606=$K324)*($H$7:$H$606=$H324)*(ROW($A$7:$A$606)&lt;&gt;324)*($L$7:$L$606&lt;=$M324)*($M$7:$M$606&gt;=$L324))&gt;0,"⚠ Çakışma","OK")))</f>
        <v/>
      </c>
      <c r="Q324" s="32" t="str">
        <f aca="false">IF($A324="","",IF(OR($E324="",$H324="",$L324=""),"",IF(SUMPRODUCT(($A$7:$A$606&lt;&gt;"")*($E$7:$E$606=$E324)*($H$7:$H$606=$H324)*(ROW($A$7:$A$606)&lt;&gt;324)*($L$7:$L$606&lt;=$M324)*($M$7:$M$606&gt;=$L324))&gt;0,"⚠ Çakışma","OK")))</f>
        <v/>
      </c>
      <c r="R324" s="32" t="str">
        <f aca="false">IF($A324="","",IF(OR($N324&lt;&gt;"",$O324="⚠ Çakışma",$P324="⚠ Çakışma",$Q324="⚠ Çakışma"),"⚠ Kontrol Et","✓ Uygun"))</f>
        <v/>
      </c>
    </row>
    <row r="325" customFormat="false" ht="13.5" hidden="false" customHeight="true" outlineLevel="0" collapsed="false">
      <c r="A325" s="32" t="str">
        <f aca="false">IF('2-Gastronomi'!A122="","","Gastronomi ve Mutfak Sanatları")</f>
        <v/>
      </c>
      <c r="B325" s="32" t="str">
        <f aca="false">IF($A325="","",IF('2-Gastronomi'!A122="","",'2-Gastronomi'!A122))</f>
        <v/>
      </c>
      <c r="C325" s="33" t="str">
        <f aca="false">IF($A325="","",IF('2-Gastronomi'!B122="","",'2-Gastronomi'!B122))</f>
        <v/>
      </c>
      <c r="D325" s="32" t="str">
        <f aca="false">IF($A325="","",IF('2-Gastronomi'!C122="","",'2-Gastronomi'!C122))</f>
        <v/>
      </c>
      <c r="E325" s="32" t="str">
        <f aca="false">IF($A325="","",$A325&amp;"-"&amp;$D325)</f>
        <v/>
      </c>
      <c r="F325" s="32" t="str">
        <f aca="false">IF($A325="","",IF('2-Gastronomi'!D122="","",'2-Gastronomi'!D122))</f>
        <v/>
      </c>
      <c r="G325" s="32" t="str">
        <f aca="false">IF($A325="","",IF('2-Gastronomi'!E122="","",'2-Gastronomi'!E122))</f>
        <v/>
      </c>
      <c r="H325" s="32" t="str">
        <f aca="false">IF($A325="","",IF('2-Gastronomi'!F122="","",'2-Gastronomi'!F122))</f>
        <v/>
      </c>
      <c r="I325" s="32" t="str">
        <f aca="false">IF($A325="","",IF('2-Gastronomi'!G122="","",'2-Gastronomi'!G122))</f>
        <v/>
      </c>
      <c r="J325" s="32" t="str">
        <f aca="false">IF($A325="","",IF('2-Gastronomi'!H122="","",'2-Gastronomi'!H122))</f>
        <v/>
      </c>
      <c r="K325" s="32" t="str">
        <f aca="false">IF($A325="","",IF('2-Gastronomi'!I122="","",'2-Gastronomi'!I122))</f>
        <v/>
      </c>
      <c r="L325" s="32" t="str">
        <f aca="false">IF($I325="","",MATCH($I325,{"08.00";"09.00";"10.00";"11.00";"12.00";"13.00";"14.00";"15.00";"16.00";"17.00"},0))</f>
        <v/>
      </c>
      <c r="M325" s="32" t="str">
        <f aca="false">IF(OR($L325="",$J325=""),"",$L325+$J325-1)</f>
        <v/>
      </c>
      <c r="N325" s="32" t="str">
        <f aca="false">IF($A325="","",IF(OR($L325="",$M325=""),"",IF($M325&gt;10,"⚠ Saat Taşıyor","")))</f>
        <v/>
      </c>
      <c r="O325" s="32" t="str">
        <f aca="false">IF($A325="","",IF(OR($G325="",$H325="",$L325=""),"",IF(SUMPRODUCT(($A$7:$A$606&lt;&gt;"")*($G$7:$G$606=$G325)*($H$7:$H$606=$H325)*(ROW($A$7:$A$606)&lt;&gt;325)*($L$7:$L$606&lt;=$M325)*($M$7:$M$606&gt;=$L325))&gt;0,"⚠ Çakışma","OK")))</f>
        <v/>
      </c>
      <c r="P325" s="32" t="str">
        <f aca="false">IF($A325="","",IF(OR($K325="",$H325="",$L325=""),"",IF(SUMPRODUCT(($A$7:$A$606&lt;&gt;"")*($K$7:$K$606=$K325)*($H$7:$H$606=$H325)*(ROW($A$7:$A$606)&lt;&gt;325)*($L$7:$L$606&lt;=$M325)*($M$7:$M$606&gt;=$L325))&gt;0,"⚠ Çakışma","OK")))</f>
        <v/>
      </c>
      <c r="Q325" s="32" t="str">
        <f aca="false">IF($A325="","",IF(OR($E325="",$H325="",$L325=""),"",IF(SUMPRODUCT(($A$7:$A$606&lt;&gt;"")*($E$7:$E$606=$E325)*($H$7:$H$606=$H325)*(ROW($A$7:$A$606)&lt;&gt;325)*($L$7:$L$606&lt;=$M325)*($M$7:$M$606&gt;=$L325))&gt;0,"⚠ Çakışma","OK")))</f>
        <v/>
      </c>
      <c r="R325" s="32" t="str">
        <f aca="false">IF($A325="","",IF(OR($N325&lt;&gt;"",$O325="⚠ Çakışma",$P325="⚠ Çakışma",$Q325="⚠ Çakışma"),"⚠ Kontrol Et","✓ Uygun"))</f>
        <v/>
      </c>
    </row>
    <row r="326" customFormat="false" ht="13.5" hidden="false" customHeight="true" outlineLevel="0" collapsed="false">
      <c r="A326" s="32" t="str">
        <f aca="false">IF('2-Gastronomi'!A123="","","Gastronomi ve Mutfak Sanatları")</f>
        <v/>
      </c>
      <c r="B326" s="32" t="str">
        <f aca="false">IF($A326="","",IF('2-Gastronomi'!A123="","",'2-Gastronomi'!A123))</f>
        <v/>
      </c>
      <c r="C326" s="33" t="str">
        <f aca="false">IF($A326="","",IF('2-Gastronomi'!B123="","",'2-Gastronomi'!B123))</f>
        <v/>
      </c>
      <c r="D326" s="32" t="str">
        <f aca="false">IF($A326="","",IF('2-Gastronomi'!C123="","",'2-Gastronomi'!C123))</f>
        <v/>
      </c>
      <c r="E326" s="32" t="str">
        <f aca="false">IF($A326="","",$A326&amp;"-"&amp;$D326)</f>
        <v/>
      </c>
      <c r="F326" s="32" t="str">
        <f aca="false">IF($A326="","",IF('2-Gastronomi'!D123="","",'2-Gastronomi'!D123))</f>
        <v/>
      </c>
      <c r="G326" s="32" t="str">
        <f aca="false">IF($A326="","",IF('2-Gastronomi'!E123="","",'2-Gastronomi'!E123))</f>
        <v/>
      </c>
      <c r="H326" s="32" t="str">
        <f aca="false">IF($A326="","",IF('2-Gastronomi'!F123="","",'2-Gastronomi'!F123))</f>
        <v/>
      </c>
      <c r="I326" s="32" t="str">
        <f aca="false">IF($A326="","",IF('2-Gastronomi'!G123="","",'2-Gastronomi'!G123))</f>
        <v/>
      </c>
      <c r="J326" s="32" t="str">
        <f aca="false">IF($A326="","",IF('2-Gastronomi'!H123="","",'2-Gastronomi'!H123))</f>
        <v/>
      </c>
      <c r="K326" s="32" t="str">
        <f aca="false">IF($A326="","",IF('2-Gastronomi'!I123="","",'2-Gastronomi'!I123))</f>
        <v/>
      </c>
      <c r="L326" s="32" t="str">
        <f aca="false">IF($I326="","",MATCH($I326,{"08.00";"09.00";"10.00";"11.00";"12.00";"13.00";"14.00";"15.00";"16.00";"17.00"},0))</f>
        <v/>
      </c>
      <c r="M326" s="32" t="str">
        <f aca="false">IF(OR($L326="",$J326=""),"",$L326+$J326-1)</f>
        <v/>
      </c>
      <c r="N326" s="32" t="str">
        <f aca="false">IF($A326="","",IF(OR($L326="",$M326=""),"",IF($M326&gt;10,"⚠ Saat Taşıyor","")))</f>
        <v/>
      </c>
      <c r="O326" s="32" t="str">
        <f aca="false">IF($A326="","",IF(OR($G326="",$H326="",$L326=""),"",IF(SUMPRODUCT(($A$7:$A$606&lt;&gt;"")*($G$7:$G$606=$G326)*($H$7:$H$606=$H326)*(ROW($A$7:$A$606)&lt;&gt;326)*($L$7:$L$606&lt;=$M326)*($M$7:$M$606&gt;=$L326))&gt;0,"⚠ Çakışma","OK")))</f>
        <v/>
      </c>
      <c r="P326" s="32" t="str">
        <f aca="false">IF($A326="","",IF(OR($K326="",$H326="",$L326=""),"",IF(SUMPRODUCT(($A$7:$A$606&lt;&gt;"")*($K$7:$K$606=$K326)*($H$7:$H$606=$H326)*(ROW($A$7:$A$606)&lt;&gt;326)*($L$7:$L$606&lt;=$M326)*($M$7:$M$606&gt;=$L326))&gt;0,"⚠ Çakışma","OK")))</f>
        <v/>
      </c>
      <c r="Q326" s="32" t="str">
        <f aca="false">IF($A326="","",IF(OR($E326="",$H326="",$L326=""),"",IF(SUMPRODUCT(($A$7:$A$606&lt;&gt;"")*($E$7:$E$606=$E326)*($H$7:$H$606=$H326)*(ROW($A$7:$A$606)&lt;&gt;326)*($L$7:$L$606&lt;=$M326)*($M$7:$M$606&gt;=$L326))&gt;0,"⚠ Çakışma","OK")))</f>
        <v/>
      </c>
      <c r="R326" s="32" t="str">
        <f aca="false">IF($A326="","",IF(OR($N326&lt;&gt;"",$O326="⚠ Çakışma",$P326="⚠ Çakışma",$Q326="⚠ Çakışma"),"⚠ Kontrol Et","✓ Uygun"))</f>
        <v/>
      </c>
    </row>
    <row r="327" customFormat="false" ht="13.5" hidden="false" customHeight="true" outlineLevel="0" collapsed="false">
      <c r="A327" s="32" t="str">
        <f aca="false">IF('2-Gastronomi'!A124="","","Gastronomi ve Mutfak Sanatları")</f>
        <v/>
      </c>
      <c r="B327" s="32" t="str">
        <f aca="false">IF($A327="","",IF('2-Gastronomi'!A124="","",'2-Gastronomi'!A124))</f>
        <v/>
      </c>
      <c r="C327" s="33" t="str">
        <f aca="false">IF($A327="","",IF('2-Gastronomi'!B124="","",'2-Gastronomi'!B124))</f>
        <v/>
      </c>
      <c r="D327" s="32" t="str">
        <f aca="false">IF($A327="","",IF('2-Gastronomi'!C124="","",'2-Gastronomi'!C124))</f>
        <v/>
      </c>
      <c r="E327" s="32" t="str">
        <f aca="false">IF($A327="","",$A327&amp;"-"&amp;$D327)</f>
        <v/>
      </c>
      <c r="F327" s="32" t="str">
        <f aca="false">IF($A327="","",IF('2-Gastronomi'!D124="","",'2-Gastronomi'!D124))</f>
        <v/>
      </c>
      <c r="G327" s="32" t="str">
        <f aca="false">IF($A327="","",IF('2-Gastronomi'!E124="","",'2-Gastronomi'!E124))</f>
        <v/>
      </c>
      <c r="H327" s="32" t="str">
        <f aca="false">IF($A327="","",IF('2-Gastronomi'!F124="","",'2-Gastronomi'!F124))</f>
        <v/>
      </c>
      <c r="I327" s="32" t="str">
        <f aca="false">IF($A327="","",IF('2-Gastronomi'!G124="","",'2-Gastronomi'!G124))</f>
        <v/>
      </c>
      <c r="J327" s="32" t="str">
        <f aca="false">IF($A327="","",IF('2-Gastronomi'!H124="","",'2-Gastronomi'!H124))</f>
        <v/>
      </c>
      <c r="K327" s="32" t="str">
        <f aca="false">IF($A327="","",IF('2-Gastronomi'!I124="","",'2-Gastronomi'!I124))</f>
        <v/>
      </c>
      <c r="L327" s="32" t="str">
        <f aca="false">IF($I327="","",MATCH($I327,{"08.00";"09.00";"10.00";"11.00";"12.00";"13.00";"14.00";"15.00";"16.00";"17.00"},0))</f>
        <v/>
      </c>
      <c r="M327" s="32" t="str">
        <f aca="false">IF(OR($L327="",$J327=""),"",$L327+$J327-1)</f>
        <v/>
      </c>
      <c r="N327" s="32" t="str">
        <f aca="false">IF($A327="","",IF(OR($L327="",$M327=""),"",IF($M327&gt;10,"⚠ Saat Taşıyor","")))</f>
        <v/>
      </c>
      <c r="O327" s="32" t="str">
        <f aca="false">IF($A327="","",IF(OR($G327="",$H327="",$L327=""),"",IF(SUMPRODUCT(($A$7:$A$606&lt;&gt;"")*($G$7:$G$606=$G327)*($H$7:$H$606=$H327)*(ROW($A$7:$A$606)&lt;&gt;327)*($L$7:$L$606&lt;=$M327)*($M$7:$M$606&gt;=$L327))&gt;0,"⚠ Çakışma","OK")))</f>
        <v/>
      </c>
      <c r="P327" s="32" t="str">
        <f aca="false">IF($A327="","",IF(OR($K327="",$H327="",$L327=""),"",IF(SUMPRODUCT(($A$7:$A$606&lt;&gt;"")*($K$7:$K$606=$K327)*($H$7:$H$606=$H327)*(ROW($A$7:$A$606)&lt;&gt;327)*($L$7:$L$606&lt;=$M327)*($M$7:$M$606&gt;=$L327))&gt;0,"⚠ Çakışma","OK")))</f>
        <v/>
      </c>
      <c r="Q327" s="32" t="str">
        <f aca="false">IF($A327="","",IF(OR($E327="",$H327="",$L327=""),"",IF(SUMPRODUCT(($A$7:$A$606&lt;&gt;"")*($E$7:$E$606=$E327)*($H$7:$H$606=$H327)*(ROW($A$7:$A$606)&lt;&gt;327)*($L$7:$L$606&lt;=$M327)*($M$7:$M$606&gt;=$L327))&gt;0,"⚠ Çakışma","OK")))</f>
        <v/>
      </c>
      <c r="R327" s="32" t="str">
        <f aca="false">IF($A327="","",IF(OR($N327&lt;&gt;"",$O327="⚠ Çakışma",$P327="⚠ Çakışma",$Q327="⚠ Çakışma"),"⚠ Kontrol Et","✓ Uygun"))</f>
        <v/>
      </c>
    </row>
    <row r="328" customFormat="false" ht="13.5" hidden="false" customHeight="true" outlineLevel="0" collapsed="false">
      <c r="A328" s="32" t="str">
        <f aca="false">IF('2-Gastronomi'!A125="","","Gastronomi ve Mutfak Sanatları")</f>
        <v/>
      </c>
      <c r="B328" s="32" t="str">
        <f aca="false">IF($A328="","",IF('2-Gastronomi'!A125="","",'2-Gastronomi'!A125))</f>
        <v/>
      </c>
      <c r="C328" s="33" t="str">
        <f aca="false">IF($A328="","",IF('2-Gastronomi'!B125="","",'2-Gastronomi'!B125))</f>
        <v/>
      </c>
      <c r="D328" s="32" t="str">
        <f aca="false">IF($A328="","",IF('2-Gastronomi'!C125="","",'2-Gastronomi'!C125))</f>
        <v/>
      </c>
      <c r="E328" s="32" t="str">
        <f aca="false">IF($A328="","",$A328&amp;"-"&amp;$D328)</f>
        <v/>
      </c>
      <c r="F328" s="32" t="str">
        <f aca="false">IF($A328="","",IF('2-Gastronomi'!D125="","",'2-Gastronomi'!D125))</f>
        <v/>
      </c>
      <c r="G328" s="32" t="str">
        <f aca="false">IF($A328="","",IF('2-Gastronomi'!E125="","",'2-Gastronomi'!E125))</f>
        <v/>
      </c>
      <c r="H328" s="32" t="str">
        <f aca="false">IF($A328="","",IF('2-Gastronomi'!F125="","",'2-Gastronomi'!F125))</f>
        <v/>
      </c>
      <c r="I328" s="32" t="str">
        <f aca="false">IF($A328="","",IF('2-Gastronomi'!G125="","",'2-Gastronomi'!G125))</f>
        <v/>
      </c>
      <c r="J328" s="32" t="str">
        <f aca="false">IF($A328="","",IF('2-Gastronomi'!H125="","",'2-Gastronomi'!H125))</f>
        <v/>
      </c>
      <c r="K328" s="32" t="str">
        <f aca="false">IF($A328="","",IF('2-Gastronomi'!I125="","",'2-Gastronomi'!I125))</f>
        <v/>
      </c>
      <c r="L328" s="32" t="str">
        <f aca="false">IF($I328="","",MATCH($I328,{"08.00";"09.00";"10.00";"11.00";"12.00";"13.00";"14.00";"15.00";"16.00";"17.00"},0))</f>
        <v/>
      </c>
      <c r="M328" s="32" t="str">
        <f aca="false">IF(OR($L328="",$J328=""),"",$L328+$J328-1)</f>
        <v/>
      </c>
      <c r="N328" s="32" t="str">
        <f aca="false">IF($A328="","",IF(OR($L328="",$M328=""),"",IF($M328&gt;10,"⚠ Saat Taşıyor","")))</f>
        <v/>
      </c>
      <c r="O328" s="32" t="str">
        <f aca="false">IF($A328="","",IF(OR($G328="",$H328="",$L328=""),"",IF(SUMPRODUCT(($A$7:$A$606&lt;&gt;"")*($G$7:$G$606=$G328)*($H$7:$H$606=$H328)*(ROW($A$7:$A$606)&lt;&gt;328)*($L$7:$L$606&lt;=$M328)*($M$7:$M$606&gt;=$L328))&gt;0,"⚠ Çakışma","OK")))</f>
        <v/>
      </c>
      <c r="P328" s="32" t="str">
        <f aca="false">IF($A328="","",IF(OR($K328="",$H328="",$L328=""),"",IF(SUMPRODUCT(($A$7:$A$606&lt;&gt;"")*($K$7:$K$606=$K328)*($H$7:$H$606=$H328)*(ROW($A$7:$A$606)&lt;&gt;328)*($L$7:$L$606&lt;=$M328)*($M$7:$M$606&gt;=$L328))&gt;0,"⚠ Çakışma","OK")))</f>
        <v/>
      </c>
      <c r="Q328" s="32" t="str">
        <f aca="false">IF($A328="","",IF(OR($E328="",$H328="",$L328=""),"",IF(SUMPRODUCT(($A$7:$A$606&lt;&gt;"")*($E$7:$E$606=$E328)*($H$7:$H$606=$H328)*(ROW($A$7:$A$606)&lt;&gt;328)*($L$7:$L$606&lt;=$M328)*($M$7:$M$606&gt;=$L328))&gt;0,"⚠ Çakışma","OK")))</f>
        <v/>
      </c>
      <c r="R328" s="32" t="str">
        <f aca="false">IF($A328="","",IF(OR($N328&lt;&gt;"",$O328="⚠ Çakışma",$P328="⚠ Çakışma",$Q328="⚠ Çakışma"),"⚠ Kontrol Et","✓ Uygun"))</f>
        <v/>
      </c>
    </row>
    <row r="329" customFormat="false" ht="13.5" hidden="false" customHeight="true" outlineLevel="0" collapsed="false">
      <c r="A329" s="32" t="str">
        <f aca="false">IF('2-Gastronomi'!A126="","","Gastronomi ve Mutfak Sanatları")</f>
        <v/>
      </c>
      <c r="B329" s="32" t="str">
        <f aca="false">IF($A329="","",IF('2-Gastronomi'!A126="","",'2-Gastronomi'!A126))</f>
        <v/>
      </c>
      <c r="C329" s="33" t="str">
        <f aca="false">IF($A329="","",IF('2-Gastronomi'!B126="","",'2-Gastronomi'!B126))</f>
        <v/>
      </c>
      <c r="D329" s="32" t="str">
        <f aca="false">IF($A329="","",IF('2-Gastronomi'!C126="","",'2-Gastronomi'!C126))</f>
        <v/>
      </c>
      <c r="E329" s="32" t="str">
        <f aca="false">IF($A329="","",$A329&amp;"-"&amp;$D329)</f>
        <v/>
      </c>
      <c r="F329" s="32" t="str">
        <f aca="false">IF($A329="","",IF('2-Gastronomi'!D126="","",'2-Gastronomi'!D126))</f>
        <v/>
      </c>
      <c r="G329" s="32" t="str">
        <f aca="false">IF($A329="","",IF('2-Gastronomi'!E126="","",'2-Gastronomi'!E126))</f>
        <v/>
      </c>
      <c r="H329" s="32" t="str">
        <f aca="false">IF($A329="","",IF('2-Gastronomi'!F126="","",'2-Gastronomi'!F126))</f>
        <v/>
      </c>
      <c r="I329" s="32" t="str">
        <f aca="false">IF($A329="","",IF('2-Gastronomi'!G126="","",'2-Gastronomi'!G126))</f>
        <v/>
      </c>
      <c r="J329" s="32" t="str">
        <f aca="false">IF($A329="","",IF('2-Gastronomi'!H126="","",'2-Gastronomi'!H126))</f>
        <v/>
      </c>
      <c r="K329" s="32" t="str">
        <f aca="false">IF($A329="","",IF('2-Gastronomi'!I126="","",'2-Gastronomi'!I126))</f>
        <v/>
      </c>
      <c r="L329" s="32" t="str">
        <f aca="false">IF($I329="","",MATCH($I329,{"08.00";"09.00";"10.00";"11.00";"12.00";"13.00";"14.00";"15.00";"16.00";"17.00"},0))</f>
        <v/>
      </c>
      <c r="M329" s="32" t="str">
        <f aca="false">IF(OR($L329="",$J329=""),"",$L329+$J329-1)</f>
        <v/>
      </c>
      <c r="N329" s="32" t="str">
        <f aca="false">IF($A329="","",IF(OR($L329="",$M329=""),"",IF($M329&gt;10,"⚠ Saat Taşıyor","")))</f>
        <v/>
      </c>
      <c r="O329" s="32" t="str">
        <f aca="false">IF($A329="","",IF(OR($G329="",$H329="",$L329=""),"",IF(SUMPRODUCT(($A$7:$A$606&lt;&gt;"")*($G$7:$G$606=$G329)*($H$7:$H$606=$H329)*(ROW($A$7:$A$606)&lt;&gt;329)*($L$7:$L$606&lt;=$M329)*($M$7:$M$606&gt;=$L329))&gt;0,"⚠ Çakışma","OK")))</f>
        <v/>
      </c>
      <c r="P329" s="32" t="str">
        <f aca="false">IF($A329="","",IF(OR($K329="",$H329="",$L329=""),"",IF(SUMPRODUCT(($A$7:$A$606&lt;&gt;"")*($K$7:$K$606=$K329)*($H$7:$H$606=$H329)*(ROW($A$7:$A$606)&lt;&gt;329)*($L$7:$L$606&lt;=$M329)*($M$7:$M$606&gt;=$L329))&gt;0,"⚠ Çakışma","OK")))</f>
        <v/>
      </c>
      <c r="Q329" s="32" t="str">
        <f aca="false">IF($A329="","",IF(OR($E329="",$H329="",$L329=""),"",IF(SUMPRODUCT(($A$7:$A$606&lt;&gt;"")*($E$7:$E$606=$E329)*($H$7:$H$606=$H329)*(ROW($A$7:$A$606)&lt;&gt;329)*($L$7:$L$606&lt;=$M329)*($M$7:$M$606&gt;=$L329))&gt;0,"⚠ Çakışma","OK")))</f>
        <v/>
      </c>
      <c r="R329" s="32" t="str">
        <f aca="false">IF($A329="","",IF(OR($N329&lt;&gt;"",$O329="⚠ Çakışma",$P329="⚠ Çakışma",$Q329="⚠ Çakışma"),"⚠ Kontrol Et","✓ Uygun"))</f>
        <v/>
      </c>
    </row>
    <row r="330" customFormat="false" ht="13.5" hidden="false" customHeight="true" outlineLevel="0" collapsed="false">
      <c r="A330" s="32" t="str">
        <f aca="false">IF('2-Gastronomi'!A127="","","Gastronomi ve Mutfak Sanatları")</f>
        <v/>
      </c>
      <c r="B330" s="32" t="str">
        <f aca="false">IF($A330="","",IF('2-Gastronomi'!A127="","",'2-Gastronomi'!A127))</f>
        <v/>
      </c>
      <c r="C330" s="33" t="str">
        <f aca="false">IF($A330="","",IF('2-Gastronomi'!B127="","",'2-Gastronomi'!B127))</f>
        <v/>
      </c>
      <c r="D330" s="32" t="str">
        <f aca="false">IF($A330="","",IF('2-Gastronomi'!C127="","",'2-Gastronomi'!C127))</f>
        <v/>
      </c>
      <c r="E330" s="32" t="str">
        <f aca="false">IF($A330="","",$A330&amp;"-"&amp;$D330)</f>
        <v/>
      </c>
      <c r="F330" s="32" t="str">
        <f aca="false">IF($A330="","",IF('2-Gastronomi'!D127="","",'2-Gastronomi'!D127))</f>
        <v/>
      </c>
      <c r="G330" s="32" t="str">
        <f aca="false">IF($A330="","",IF('2-Gastronomi'!E127="","",'2-Gastronomi'!E127))</f>
        <v/>
      </c>
      <c r="H330" s="32" t="str">
        <f aca="false">IF($A330="","",IF('2-Gastronomi'!F127="","",'2-Gastronomi'!F127))</f>
        <v/>
      </c>
      <c r="I330" s="32" t="str">
        <f aca="false">IF($A330="","",IF('2-Gastronomi'!G127="","",'2-Gastronomi'!G127))</f>
        <v/>
      </c>
      <c r="J330" s="32" t="str">
        <f aca="false">IF($A330="","",IF('2-Gastronomi'!H127="","",'2-Gastronomi'!H127))</f>
        <v/>
      </c>
      <c r="K330" s="32" t="str">
        <f aca="false">IF($A330="","",IF('2-Gastronomi'!I127="","",'2-Gastronomi'!I127))</f>
        <v/>
      </c>
      <c r="L330" s="32" t="str">
        <f aca="false">IF($I330="","",MATCH($I330,{"08.00";"09.00";"10.00";"11.00";"12.00";"13.00";"14.00";"15.00";"16.00";"17.00"},0))</f>
        <v/>
      </c>
      <c r="M330" s="32" t="str">
        <f aca="false">IF(OR($L330="",$J330=""),"",$L330+$J330-1)</f>
        <v/>
      </c>
      <c r="N330" s="32" t="str">
        <f aca="false">IF($A330="","",IF(OR($L330="",$M330=""),"",IF($M330&gt;10,"⚠ Saat Taşıyor","")))</f>
        <v/>
      </c>
      <c r="O330" s="32" t="str">
        <f aca="false">IF($A330="","",IF(OR($G330="",$H330="",$L330=""),"",IF(SUMPRODUCT(($A$7:$A$606&lt;&gt;"")*($G$7:$G$606=$G330)*($H$7:$H$606=$H330)*(ROW($A$7:$A$606)&lt;&gt;330)*($L$7:$L$606&lt;=$M330)*($M$7:$M$606&gt;=$L330))&gt;0,"⚠ Çakışma","OK")))</f>
        <v/>
      </c>
      <c r="P330" s="32" t="str">
        <f aca="false">IF($A330="","",IF(OR($K330="",$H330="",$L330=""),"",IF(SUMPRODUCT(($A$7:$A$606&lt;&gt;"")*($K$7:$K$606=$K330)*($H$7:$H$606=$H330)*(ROW($A$7:$A$606)&lt;&gt;330)*($L$7:$L$606&lt;=$M330)*($M$7:$M$606&gt;=$L330))&gt;0,"⚠ Çakışma","OK")))</f>
        <v/>
      </c>
      <c r="Q330" s="32" t="str">
        <f aca="false">IF($A330="","",IF(OR($E330="",$H330="",$L330=""),"",IF(SUMPRODUCT(($A$7:$A$606&lt;&gt;"")*($E$7:$E$606=$E330)*($H$7:$H$606=$H330)*(ROW($A$7:$A$606)&lt;&gt;330)*($L$7:$L$606&lt;=$M330)*($M$7:$M$606&gt;=$L330))&gt;0,"⚠ Çakışma","OK")))</f>
        <v/>
      </c>
      <c r="R330" s="32" t="str">
        <f aca="false">IF($A330="","",IF(OR($N330&lt;&gt;"",$O330="⚠ Çakışma",$P330="⚠ Çakışma",$Q330="⚠ Çakışma"),"⚠ Kontrol Et","✓ Uygun"))</f>
        <v/>
      </c>
    </row>
    <row r="331" customFormat="false" ht="13.5" hidden="false" customHeight="true" outlineLevel="0" collapsed="false">
      <c r="A331" s="32" t="str">
        <f aca="false">IF('2-Gastronomi'!A128="","","Gastronomi ve Mutfak Sanatları")</f>
        <v/>
      </c>
      <c r="B331" s="32" t="str">
        <f aca="false">IF($A331="","",IF('2-Gastronomi'!A128="","",'2-Gastronomi'!A128))</f>
        <v/>
      </c>
      <c r="C331" s="33" t="str">
        <f aca="false">IF($A331="","",IF('2-Gastronomi'!B128="","",'2-Gastronomi'!B128))</f>
        <v/>
      </c>
      <c r="D331" s="32" t="str">
        <f aca="false">IF($A331="","",IF('2-Gastronomi'!C128="","",'2-Gastronomi'!C128))</f>
        <v/>
      </c>
      <c r="E331" s="32" t="str">
        <f aca="false">IF($A331="","",$A331&amp;"-"&amp;$D331)</f>
        <v/>
      </c>
      <c r="F331" s="32" t="str">
        <f aca="false">IF($A331="","",IF('2-Gastronomi'!D128="","",'2-Gastronomi'!D128))</f>
        <v/>
      </c>
      <c r="G331" s="32" t="str">
        <f aca="false">IF($A331="","",IF('2-Gastronomi'!E128="","",'2-Gastronomi'!E128))</f>
        <v/>
      </c>
      <c r="H331" s="32" t="str">
        <f aca="false">IF($A331="","",IF('2-Gastronomi'!F128="","",'2-Gastronomi'!F128))</f>
        <v/>
      </c>
      <c r="I331" s="32" t="str">
        <f aca="false">IF($A331="","",IF('2-Gastronomi'!G128="","",'2-Gastronomi'!G128))</f>
        <v/>
      </c>
      <c r="J331" s="32" t="str">
        <f aca="false">IF($A331="","",IF('2-Gastronomi'!H128="","",'2-Gastronomi'!H128))</f>
        <v/>
      </c>
      <c r="K331" s="32" t="str">
        <f aca="false">IF($A331="","",IF('2-Gastronomi'!I128="","",'2-Gastronomi'!I128))</f>
        <v/>
      </c>
      <c r="L331" s="32" t="str">
        <f aca="false">IF($I331="","",MATCH($I331,{"08.00";"09.00";"10.00";"11.00";"12.00";"13.00";"14.00";"15.00";"16.00";"17.00"},0))</f>
        <v/>
      </c>
      <c r="M331" s="32" t="str">
        <f aca="false">IF(OR($L331="",$J331=""),"",$L331+$J331-1)</f>
        <v/>
      </c>
      <c r="N331" s="32" t="str">
        <f aca="false">IF($A331="","",IF(OR($L331="",$M331=""),"",IF($M331&gt;10,"⚠ Saat Taşıyor","")))</f>
        <v/>
      </c>
      <c r="O331" s="32" t="str">
        <f aca="false">IF($A331="","",IF(OR($G331="",$H331="",$L331=""),"",IF(SUMPRODUCT(($A$7:$A$606&lt;&gt;"")*($G$7:$G$606=$G331)*($H$7:$H$606=$H331)*(ROW($A$7:$A$606)&lt;&gt;331)*($L$7:$L$606&lt;=$M331)*($M$7:$M$606&gt;=$L331))&gt;0,"⚠ Çakışma","OK")))</f>
        <v/>
      </c>
      <c r="P331" s="32" t="str">
        <f aca="false">IF($A331="","",IF(OR($K331="",$H331="",$L331=""),"",IF(SUMPRODUCT(($A$7:$A$606&lt;&gt;"")*($K$7:$K$606=$K331)*($H$7:$H$606=$H331)*(ROW($A$7:$A$606)&lt;&gt;331)*($L$7:$L$606&lt;=$M331)*($M$7:$M$606&gt;=$L331))&gt;0,"⚠ Çakışma","OK")))</f>
        <v/>
      </c>
      <c r="Q331" s="32" t="str">
        <f aca="false">IF($A331="","",IF(OR($E331="",$H331="",$L331=""),"",IF(SUMPRODUCT(($A$7:$A$606&lt;&gt;"")*($E$7:$E$606=$E331)*($H$7:$H$606=$H331)*(ROW($A$7:$A$606)&lt;&gt;331)*($L$7:$L$606&lt;=$M331)*($M$7:$M$606&gt;=$L331))&gt;0,"⚠ Çakışma","OK")))</f>
        <v/>
      </c>
      <c r="R331" s="32" t="str">
        <f aca="false">IF($A331="","",IF(OR($N331&lt;&gt;"",$O331="⚠ Çakışma",$P331="⚠ Çakışma",$Q331="⚠ Çakışma"),"⚠ Kontrol Et","✓ Uygun"))</f>
        <v/>
      </c>
    </row>
    <row r="332" customFormat="false" ht="13.5" hidden="false" customHeight="true" outlineLevel="0" collapsed="false">
      <c r="A332" s="32" t="str">
        <f aca="false">IF('2-Gastronomi'!A129="","","Gastronomi ve Mutfak Sanatları")</f>
        <v/>
      </c>
      <c r="B332" s="32" t="str">
        <f aca="false">IF($A332="","",IF('2-Gastronomi'!A129="","",'2-Gastronomi'!A129))</f>
        <v/>
      </c>
      <c r="C332" s="33" t="str">
        <f aca="false">IF($A332="","",IF('2-Gastronomi'!B129="","",'2-Gastronomi'!B129))</f>
        <v/>
      </c>
      <c r="D332" s="32" t="str">
        <f aca="false">IF($A332="","",IF('2-Gastronomi'!C129="","",'2-Gastronomi'!C129))</f>
        <v/>
      </c>
      <c r="E332" s="32" t="str">
        <f aca="false">IF($A332="","",$A332&amp;"-"&amp;$D332)</f>
        <v/>
      </c>
      <c r="F332" s="32" t="str">
        <f aca="false">IF($A332="","",IF('2-Gastronomi'!D129="","",'2-Gastronomi'!D129))</f>
        <v/>
      </c>
      <c r="G332" s="32" t="str">
        <f aca="false">IF($A332="","",IF('2-Gastronomi'!E129="","",'2-Gastronomi'!E129))</f>
        <v/>
      </c>
      <c r="H332" s="32" t="str">
        <f aca="false">IF($A332="","",IF('2-Gastronomi'!F129="","",'2-Gastronomi'!F129))</f>
        <v/>
      </c>
      <c r="I332" s="32" t="str">
        <f aca="false">IF($A332="","",IF('2-Gastronomi'!G129="","",'2-Gastronomi'!G129))</f>
        <v/>
      </c>
      <c r="J332" s="32" t="str">
        <f aca="false">IF($A332="","",IF('2-Gastronomi'!H129="","",'2-Gastronomi'!H129))</f>
        <v/>
      </c>
      <c r="K332" s="32" t="str">
        <f aca="false">IF($A332="","",IF('2-Gastronomi'!I129="","",'2-Gastronomi'!I129))</f>
        <v/>
      </c>
      <c r="L332" s="32" t="str">
        <f aca="false">IF($I332="","",MATCH($I332,{"08.00";"09.00";"10.00";"11.00";"12.00";"13.00";"14.00";"15.00";"16.00";"17.00"},0))</f>
        <v/>
      </c>
      <c r="M332" s="32" t="str">
        <f aca="false">IF(OR($L332="",$J332=""),"",$L332+$J332-1)</f>
        <v/>
      </c>
      <c r="N332" s="32" t="str">
        <f aca="false">IF($A332="","",IF(OR($L332="",$M332=""),"",IF($M332&gt;10,"⚠ Saat Taşıyor","")))</f>
        <v/>
      </c>
      <c r="O332" s="32" t="str">
        <f aca="false">IF($A332="","",IF(OR($G332="",$H332="",$L332=""),"",IF(SUMPRODUCT(($A$7:$A$606&lt;&gt;"")*($G$7:$G$606=$G332)*($H$7:$H$606=$H332)*(ROW($A$7:$A$606)&lt;&gt;332)*($L$7:$L$606&lt;=$M332)*($M$7:$M$606&gt;=$L332))&gt;0,"⚠ Çakışma","OK")))</f>
        <v/>
      </c>
      <c r="P332" s="32" t="str">
        <f aca="false">IF($A332="","",IF(OR($K332="",$H332="",$L332=""),"",IF(SUMPRODUCT(($A$7:$A$606&lt;&gt;"")*($K$7:$K$606=$K332)*($H$7:$H$606=$H332)*(ROW($A$7:$A$606)&lt;&gt;332)*($L$7:$L$606&lt;=$M332)*($M$7:$M$606&gt;=$L332))&gt;0,"⚠ Çakışma","OK")))</f>
        <v/>
      </c>
      <c r="Q332" s="32" t="str">
        <f aca="false">IF($A332="","",IF(OR($E332="",$H332="",$L332=""),"",IF(SUMPRODUCT(($A$7:$A$606&lt;&gt;"")*($E$7:$E$606=$E332)*($H$7:$H$606=$H332)*(ROW($A$7:$A$606)&lt;&gt;332)*($L$7:$L$606&lt;=$M332)*($M$7:$M$606&gt;=$L332))&gt;0,"⚠ Çakışma","OK")))</f>
        <v/>
      </c>
      <c r="R332" s="32" t="str">
        <f aca="false">IF($A332="","",IF(OR($N332&lt;&gt;"",$O332="⚠ Çakışma",$P332="⚠ Çakışma",$Q332="⚠ Çakışma"),"⚠ Kontrol Et","✓ Uygun"))</f>
        <v/>
      </c>
    </row>
    <row r="333" customFormat="false" ht="13.5" hidden="false" customHeight="true" outlineLevel="0" collapsed="false">
      <c r="A333" s="32" t="str">
        <f aca="false">IF('2-Gastronomi'!A130="","","Gastronomi ve Mutfak Sanatları")</f>
        <v/>
      </c>
      <c r="B333" s="32" t="str">
        <f aca="false">IF($A333="","",IF('2-Gastronomi'!A130="","",'2-Gastronomi'!A130))</f>
        <v/>
      </c>
      <c r="C333" s="33" t="str">
        <f aca="false">IF($A333="","",IF('2-Gastronomi'!B130="","",'2-Gastronomi'!B130))</f>
        <v/>
      </c>
      <c r="D333" s="32" t="str">
        <f aca="false">IF($A333="","",IF('2-Gastronomi'!C130="","",'2-Gastronomi'!C130))</f>
        <v/>
      </c>
      <c r="E333" s="32" t="str">
        <f aca="false">IF($A333="","",$A333&amp;"-"&amp;$D333)</f>
        <v/>
      </c>
      <c r="F333" s="32" t="str">
        <f aca="false">IF($A333="","",IF('2-Gastronomi'!D130="","",'2-Gastronomi'!D130))</f>
        <v/>
      </c>
      <c r="G333" s="32" t="str">
        <f aca="false">IF($A333="","",IF('2-Gastronomi'!E130="","",'2-Gastronomi'!E130))</f>
        <v/>
      </c>
      <c r="H333" s="32" t="str">
        <f aca="false">IF($A333="","",IF('2-Gastronomi'!F130="","",'2-Gastronomi'!F130))</f>
        <v/>
      </c>
      <c r="I333" s="32" t="str">
        <f aca="false">IF($A333="","",IF('2-Gastronomi'!G130="","",'2-Gastronomi'!G130))</f>
        <v/>
      </c>
      <c r="J333" s="32" t="str">
        <f aca="false">IF($A333="","",IF('2-Gastronomi'!H130="","",'2-Gastronomi'!H130))</f>
        <v/>
      </c>
      <c r="K333" s="32" t="str">
        <f aca="false">IF($A333="","",IF('2-Gastronomi'!I130="","",'2-Gastronomi'!I130))</f>
        <v/>
      </c>
      <c r="L333" s="32" t="str">
        <f aca="false">IF($I333="","",MATCH($I333,{"08.00";"09.00";"10.00";"11.00";"12.00";"13.00";"14.00";"15.00";"16.00";"17.00"},0))</f>
        <v/>
      </c>
      <c r="M333" s="32" t="str">
        <f aca="false">IF(OR($L333="",$J333=""),"",$L333+$J333-1)</f>
        <v/>
      </c>
      <c r="N333" s="32" t="str">
        <f aca="false">IF($A333="","",IF(OR($L333="",$M333=""),"",IF($M333&gt;10,"⚠ Saat Taşıyor","")))</f>
        <v/>
      </c>
      <c r="O333" s="32" t="str">
        <f aca="false">IF($A333="","",IF(OR($G333="",$H333="",$L333=""),"",IF(SUMPRODUCT(($A$7:$A$606&lt;&gt;"")*($G$7:$G$606=$G333)*($H$7:$H$606=$H333)*(ROW($A$7:$A$606)&lt;&gt;333)*($L$7:$L$606&lt;=$M333)*($M$7:$M$606&gt;=$L333))&gt;0,"⚠ Çakışma","OK")))</f>
        <v/>
      </c>
      <c r="P333" s="32" t="str">
        <f aca="false">IF($A333="","",IF(OR($K333="",$H333="",$L333=""),"",IF(SUMPRODUCT(($A$7:$A$606&lt;&gt;"")*($K$7:$K$606=$K333)*($H$7:$H$606=$H333)*(ROW($A$7:$A$606)&lt;&gt;333)*($L$7:$L$606&lt;=$M333)*($M$7:$M$606&gt;=$L333))&gt;0,"⚠ Çakışma","OK")))</f>
        <v/>
      </c>
      <c r="Q333" s="32" t="str">
        <f aca="false">IF($A333="","",IF(OR($E333="",$H333="",$L333=""),"",IF(SUMPRODUCT(($A$7:$A$606&lt;&gt;"")*($E$7:$E$606=$E333)*($H$7:$H$606=$H333)*(ROW($A$7:$A$606)&lt;&gt;333)*($L$7:$L$606&lt;=$M333)*($M$7:$M$606&gt;=$L333))&gt;0,"⚠ Çakışma","OK")))</f>
        <v/>
      </c>
      <c r="R333" s="32" t="str">
        <f aca="false">IF($A333="","",IF(OR($N333&lt;&gt;"",$O333="⚠ Çakışma",$P333="⚠ Çakışma",$Q333="⚠ Çakışma"),"⚠ Kontrol Et","✓ Uygun"))</f>
        <v/>
      </c>
    </row>
    <row r="334" customFormat="false" ht="13.5" hidden="false" customHeight="true" outlineLevel="0" collapsed="false">
      <c r="A334" s="32" t="str">
        <f aca="false">IF('2-Gastronomi'!A131="","","Gastronomi ve Mutfak Sanatları")</f>
        <v/>
      </c>
      <c r="B334" s="32" t="str">
        <f aca="false">IF($A334="","",IF('2-Gastronomi'!A131="","",'2-Gastronomi'!A131))</f>
        <v/>
      </c>
      <c r="C334" s="33" t="str">
        <f aca="false">IF($A334="","",IF('2-Gastronomi'!B131="","",'2-Gastronomi'!B131))</f>
        <v/>
      </c>
      <c r="D334" s="32" t="str">
        <f aca="false">IF($A334="","",IF('2-Gastronomi'!C131="","",'2-Gastronomi'!C131))</f>
        <v/>
      </c>
      <c r="E334" s="32" t="str">
        <f aca="false">IF($A334="","",$A334&amp;"-"&amp;$D334)</f>
        <v/>
      </c>
      <c r="F334" s="32" t="str">
        <f aca="false">IF($A334="","",IF('2-Gastronomi'!D131="","",'2-Gastronomi'!D131))</f>
        <v/>
      </c>
      <c r="G334" s="32" t="str">
        <f aca="false">IF($A334="","",IF('2-Gastronomi'!E131="","",'2-Gastronomi'!E131))</f>
        <v/>
      </c>
      <c r="H334" s="32" t="str">
        <f aca="false">IF($A334="","",IF('2-Gastronomi'!F131="","",'2-Gastronomi'!F131))</f>
        <v/>
      </c>
      <c r="I334" s="32" t="str">
        <f aca="false">IF($A334="","",IF('2-Gastronomi'!G131="","",'2-Gastronomi'!G131))</f>
        <v/>
      </c>
      <c r="J334" s="32" t="str">
        <f aca="false">IF($A334="","",IF('2-Gastronomi'!H131="","",'2-Gastronomi'!H131))</f>
        <v/>
      </c>
      <c r="K334" s="32" t="str">
        <f aca="false">IF($A334="","",IF('2-Gastronomi'!I131="","",'2-Gastronomi'!I131))</f>
        <v/>
      </c>
      <c r="L334" s="32" t="str">
        <f aca="false">IF($I334="","",MATCH($I334,{"08.00";"09.00";"10.00";"11.00";"12.00";"13.00";"14.00";"15.00";"16.00";"17.00"},0))</f>
        <v/>
      </c>
      <c r="M334" s="32" t="str">
        <f aca="false">IF(OR($L334="",$J334=""),"",$L334+$J334-1)</f>
        <v/>
      </c>
      <c r="N334" s="32" t="str">
        <f aca="false">IF($A334="","",IF(OR($L334="",$M334=""),"",IF($M334&gt;10,"⚠ Saat Taşıyor","")))</f>
        <v/>
      </c>
      <c r="O334" s="32" t="str">
        <f aca="false">IF($A334="","",IF(OR($G334="",$H334="",$L334=""),"",IF(SUMPRODUCT(($A$7:$A$606&lt;&gt;"")*($G$7:$G$606=$G334)*($H$7:$H$606=$H334)*(ROW($A$7:$A$606)&lt;&gt;334)*($L$7:$L$606&lt;=$M334)*($M$7:$M$606&gt;=$L334))&gt;0,"⚠ Çakışma","OK")))</f>
        <v/>
      </c>
      <c r="P334" s="32" t="str">
        <f aca="false">IF($A334="","",IF(OR($K334="",$H334="",$L334=""),"",IF(SUMPRODUCT(($A$7:$A$606&lt;&gt;"")*($K$7:$K$606=$K334)*($H$7:$H$606=$H334)*(ROW($A$7:$A$606)&lt;&gt;334)*($L$7:$L$606&lt;=$M334)*($M$7:$M$606&gt;=$L334))&gt;0,"⚠ Çakışma","OK")))</f>
        <v/>
      </c>
      <c r="Q334" s="32" t="str">
        <f aca="false">IF($A334="","",IF(OR($E334="",$H334="",$L334=""),"",IF(SUMPRODUCT(($A$7:$A$606&lt;&gt;"")*($E$7:$E$606=$E334)*($H$7:$H$606=$H334)*(ROW($A$7:$A$606)&lt;&gt;334)*($L$7:$L$606&lt;=$M334)*($M$7:$M$606&gt;=$L334))&gt;0,"⚠ Çakışma","OK")))</f>
        <v/>
      </c>
      <c r="R334" s="32" t="str">
        <f aca="false">IF($A334="","",IF(OR($N334&lt;&gt;"",$O334="⚠ Çakışma",$P334="⚠ Çakışma",$Q334="⚠ Çakışma"),"⚠ Kontrol Et","✓ Uygun"))</f>
        <v/>
      </c>
    </row>
    <row r="335" customFormat="false" ht="13.5" hidden="false" customHeight="true" outlineLevel="0" collapsed="false">
      <c r="A335" s="32" t="str">
        <f aca="false">IF('2-Gastronomi'!A132="","","Gastronomi ve Mutfak Sanatları")</f>
        <v/>
      </c>
      <c r="B335" s="32" t="str">
        <f aca="false">IF($A335="","",IF('2-Gastronomi'!A132="","",'2-Gastronomi'!A132))</f>
        <v/>
      </c>
      <c r="C335" s="33" t="str">
        <f aca="false">IF($A335="","",IF('2-Gastronomi'!B132="","",'2-Gastronomi'!B132))</f>
        <v/>
      </c>
      <c r="D335" s="32" t="str">
        <f aca="false">IF($A335="","",IF('2-Gastronomi'!C132="","",'2-Gastronomi'!C132))</f>
        <v/>
      </c>
      <c r="E335" s="32" t="str">
        <f aca="false">IF($A335="","",$A335&amp;"-"&amp;$D335)</f>
        <v/>
      </c>
      <c r="F335" s="32" t="str">
        <f aca="false">IF($A335="","",IF('2-Gastronomi'!D132="","",'2-Gastronomi'!D132))</f>
        <v/>
      </c>
      <c r="G335" s="32" t="str">
        <f aca="false">IF($A335="","",IF('2-Gastronomi'!E132="","",'2-Gastronomi'!E132))</f>
        <v/>
      </c>
      <c r="H335" s="32" t="str">
        <f aca="false">IF($A335="","",IF('2-Gastronomi'!F132="","",'2-Gastronomi'!F132))</f>
        <v/>
      </c>
      <c r="I335" s="32" t="str">
        <f aca="false">IF($A335="","",IF('2-Gastronomi'!G132="","",'2-Gastronomi'!G132))</f>
        <v/>
      </c>
      <c r="J335" s="32" t="str">
        <f aca="false">IF($A335="","",IF('2-Gastronomi'!H132="","",'2-Gastronomi'!H132))</f>
        <v/>
      </c>
      <c r="K335" s="32" t="str">
        <f aca="false">IF($A335="","",IF('2-Gastronomi'!I132="","",'2-Gastronomi'!I132))</f>
        <v/>
      </c>
      <c r="L335" s="32" t="str">
        <f aca="false">IF($I335="","",MATCH($I335,{"08.00";"09.00";"10.00";"11.00";"12.00";"13.00";"14.00";"15.00";"16.00";"17.00"},0))</f>
        <v/>
      </c>
      <c r="M335" s="32" t="str">
        <f aca="false">IF(OR($L335="",$J335=""),"",$L335+$J335-1)</f>
        <v/>
      </c>
      <c r="N335" s="32" t="str">
        <f aca="false">IF($A335="","",IF(OR($L335="",$M335=""),"",IF($M335&gt;10,"⚠ Saat Taşıyor","")))</f>
        <v/>
      </c>
      <c r="O335" s="32" t="str">
        <f aca="false">IF($A335="","",IF(OR($G335="",$H335="",$L335=""),"",IF(SUMPRODUCT(($A$7:$A$606&lt;&gt;"")*($G$7:$G$606=$G335)*($H$7:$H$606=$H335)*(ROW($A$7:$A$606)&lt;&gt;335)*($L$7:$L$606&lt;=$M335)*($M$7:$M$606&gt;=$L335))&gt;0,"⚠ Çakışma","OK")))</f>
        <v/>
      </c>
      <c r="P335" s="32" t="str">
        <f aca="false">IF($A335="","",IF(OR($K335="",$H335="",$L335=""),"",IF(SUMPRODUCT(($A$7:$A$606&lt;&gt;"")*($K$7:$K$606=$K335)*($H$7:$H$606=$H335)*(ROW($A$7:$A$606)&lt;&gt;335)*($L$7:$L$606&lt;=$M335)*($M$7:$M$606&gt;=$L335))&gt;0,"⚠ Çakışma","OK")))</f>
        <v/>
      </c>
      <c r="Q335" s="32" t="str">
        <f aca="false">IF($A335="","",IF(OR($E335="",$H335="",$L335=""),"",IF(SUMPRODUCT(($A$7:$A$606&lt;&gt;"")*($E$7:$E$606=$E335)*($H$7:$H$606=$H335)*(ROW($A$7:$A$606)&lt;&gt;335)*($L$7:$L$606&lt;=$M335)*($M$7:$M$606&gt;=$L335))&gt;0,"⚠ Çakışma","OK")))</f>
        <v/>
      </c>
      <c r="R335" s="32" t="str">
        <f aca="false">IF($A335="","",IF(OR($N335&lt;&gt;"",$O335="⚠ Çakışma",$P335="⚠ Çakışma",$Q335="⚠ Çakışma"),"⚠ Kontrol Et","✓ Uygun"))</f>
        <v/>
      </c>
    </row>
    <row r="336" customFormat="false" ht="13.5" hidden="false" customHeight="true" outlineLevel="0" collapsed="false">
      <c r="A336" s="32" t="str">
        <f aca="false">IF('2-Gastronomi'!A133="","","Gastronomi ve Mutfak Sanatları")</f>
        <v/>
      </c>
      <c r="B336" s="32" t="str">
        <f aca="false">IF($A336="","",IF('2-Gastronomi'!A133="","",'2-Gastronomi'!A133))</f>
        <v/>
      </c>
      <c r="C336" s="33" t="str">
        <f aca="false">IF($A336="","",IF('2-Gastronomi'!B133="","",'2-Gastronomi'!B133))</f>
        <v/>
      </c>
      <c r="D336" s="32" t="str">
        <f aca="false">IF($A336="","",IF('2-Gastronomi'!C133="","",'2-Gastronomi'!C133))</f>
        <v/>
      </c>
      <c r="E336" s="32" t="str">
        <f aca="false">IF($A336="","",$A336&amp;"-"&amp;$D336)</f>
        <v/>
      </c>
      <c r="F336" s="32" t="str">
        <f aca="false">IF($A336="","",IF('2-Gastronomi'!D133="","",'2-Gastronomi'!D133))</f>
        <v/>
      </c>
      <c r="G336" s="32" t="str">
        <f aca="false">IF($A336="","",IF('2-Gastronomi'!E133="","",'2-Gastronomi'!E133))</f>
        <v/>
      </c>
      <c r="H336" s="32" t="str">
        <f aca="false">IF($A336="","",IF('2-Gastronomi'!F133="","",'2-Gastronomi'!F133))</f>
        <v/>
      </c>
      <c r="I336" s="32" t="str">
        <f aca="false">IF($A336="","",IF('2-Gastronomi'!G133="","",'2-Gastronomi'!G133))</f>
        <v/>
      </c>
      <c r="J336" s="32" t="str">
        <f aca="false">IF($A336="","",IF('2-Gastronomi'!H133="","",'2-Gastronomi'!H133))</f>
        <v/>
      </c>
      <c r="K336" s="32" t="str">
        <f aca="false">IF($A336="","",IF('2-Gastronomi'!I133="","",'2-Gastronomi'!I133))</f>
        <v/>
      </c>
      <c r="L336" s="32" t="str">
        <f aca="false">IF($I336="","",MATCH($I336,{"08.00";"09.00";"10.00";"11.00";"12.00";"13.00";"14.00";"15.00";"16.00";"17.00"},0))</f>
        <v/>
      </c>
      <c r="M336" s="32" t="str">
        <f aca="false">IF(OR($L336="",$J336=""),"",$L336+$J336-1)</f>
        <v/>
      </c>
      <c r="N336" s="32" t="str">
        <f aca="false">IF($A336="","",IF(OR($L336="",$M336=""),"",IF($M336&gt;10,"⚠ Saat Taşıyor","")))</f>
        <v/>
      </c>
      <c r="O336" s="32" t="str">
        <f aca="false">IF($A336="","",IF(OR($G336="",$H336="",$L336=""),"",IF(SUMPRODUCT(($A$7:$A$606&lt;&gt;"")*($G$7:$G$606=$G336)*($H$7:$H$606=$H336)*(ROW($A$7:$A$606)&lt;&gt;336)*($L$7:$L$606&lt;=$M336)*($M$7:$M$606&gt;=$L336))&gt;0,"⚠ Çakışma","OK")))</f>
        <v/>
      </c>
      <c r="P336" s="32" t="str">
        <f aca="false">IF($A336="","",IF(OR($K336="",$H336="",$L336=""),"",IF(SUMPRODUCT(($A$7:$A$606&lt;&gt;"")*($K$7:$K$606=$K336)*($H$7:$H$606=$H336)*(ROW($A$7:$A$606)&lt;&gt;336)*($L$7:$L$606&lt;=$M336)*($M$7:$M$606&gt;=$L336))&gt;0,"⚠ Çakışma","OK")))</f>
        <v/>
      </c>
      <c r="Q336" s="32" t="str">
        <f aca="false">IF($A336="","",IF(OR($E336="",$H336="",$L336=""),"",IF(SUMPRODUCT(($A$7:$A$606&lt;&gt;"")*($E$7:$E$606=$E336)*($H$7:$H$606=$H336)*(ROW($A$7:$A$606)&lt;&gt;336)*($L$7:$L$606&lt;=$M336)*($M$7:$M$606&gt;=$L336))&gt;0,"⚠ Çakışma","OK")))</f>
        <v/>
      </c>
      <c r="R336" s="32" t="str">
        <f aca="false">IF($A336="","",IF(OR($N336&lt;&gt;"",$O336="⚠ Çakışma",$P336="⚠ Çakışma",$Q336="⚠ Çakışma"),"⚠ Kontrol Et","✓ Uygun"))</f>
        <v/>
      </c>
    </row>
    <row r="337" customFormat="false" ht="13.5" hidden="false" customHeight="true" outlineLevel="0" collapsed="false">
      <c r="A337" s="32" t="str">
        <f aca="false">IF('2-Gastronomi'!A134="","","Gastronomi ve Mutfak Sanatları")</f>
        <v/>
      </c>
      <c r="B337" s="32" t="str">
        <f aca="false">IF($A337="","",IF('2-Gastronomi'!A134="","",'2-Gastronomi'!A134))</f>
        <v/>
      </c>
      <c r="C337" s="33" t="str">
        <f aca="false">IF($A337="","",IF('2-Gastronomi'!B134="","",'2-Gastronomi'!B134))</f>
        <v/>
      </c>
      <c r="D337" s="32" t="str">
        <f aca="false">IF($A337="","",IF('2-Gastronomi'!C134="","",'2-Gastronomi'!C134))</f>
        <v/>
      </c>
      <c r="E337" s="32" t="str">
        <f aca="false">IF($A337="","",$A337&amp;"-"&amp;$D337)</f>
        <v/>
      </c>
      <c r="F337" s="32" t="str">
        <f aca="false">IF($A337="","",IF('2-Gastronomi'!D134="","",'2-Gastronomi'!D134))</f>
        <v/>
      </c>
      <c r="G337" s="32" t="str">
        <f aca="false">IF($A337="","",IF('2-Gastronomi'!E134="","",'2-Gastronomi'!E134))</f>
        <v/>
      </c>
      <c r="H337" s="32" t="str">
        <f aca="false">IF($A337="","",IF('2-Gastronomi'!F134="","",'2-Gastronomi'!F134))</f>
        <v/>
      </c>
      <c r="I337" s="32" t="str">
        <f aca="false">IF($A337="","",IF('2-Gastronomi'!G134="","",'2-Gastronomi'!G134))</f>
        <v/>
      </c>
      <c r="J337" s="32" t="str">
        <f aca="false">IF($A337="","",IF('2-Gastronomi'!H134="","",'2-Gastronomi'!H134))</f>
        <v/>
      </c>
      <c r="K337" s="32" t="str">
        <f aca="false">IF($A337="","",IF('2-Gastronomi'!I134="","",'2-Gastronomi'!I134))</f>
        <v/>
      </c>
      <c r="L337" s="32" t="str">
        <f aca="false">IF($I337="","",MATCH($I337,{"08.00";"09.00";"10.00";"11.00";"12.00";"13.00";"14.00";"15.00";"16.00";"17.00"},0))</f>
        <v/>
      </c>
      <c r="M337" s="32" t="str">
        <f aca="false">IF(OR($L337="",$J337=""),"",$L337+$J337-1)</f>
        <v/>
      </c>
      <c r="N337" s="32" t="str">
        <f aca="false">IF($A337="","",IF(OR($L337="",$M337=""),"",IF($M337&gt;10,"⚠ Saat Taşıyor","")))</f>
        <v/>
      </c>
      <c r="O337" s="32" t="str">
        <f aca="false">IF($A337="","",IF(OR($G337="",$H337="",$L337=""),"",IF(SUMPRODUCT(($A$7:$A$606&lt;&gt;"")*($G$7:$G$606=$G337)*($H$7:$H$606=$H337)*(ROW($A$7:$A$606)&lt;&gt;337)*($L$7:$L$606&lt;=$M337)*($M$7:$M$606&gt;=$L337))&gt;0,"⚠ Çakışma","OK")))</f>
        <v/>
      </c>
      <c r="P337" s="32" t="str">
        <f aca="false">IF($A337="","",IF(OR($K337="",$H337="",$L337=""),"",IF(SUMPRODUCT(($A$7:$A$606&lt;&gt;"")*($K$7:$K$606=$K337)*($H$7:$H$606=$H337)*(ROW($A$7:$A$606)&lt;&gt;337)*($L$7:$L$606&lt;=$M337)*($M$7:$M$606&gt;=$L337))&gt;0,"⚠ Çakışma","OK")))</f>
        <v/>
      </c>
      <c r="Q337" s="32" t="str">
        <f aca="false">IF($A337="","",IF(OR($E337="",$H337="",$L337=""),"",IF(SUMPRODUCT(($A$7:$A$606&lt;&gt;"")*($E$7:$E$606=$E337)*($H$7:$H$606=$H337)*(ROW($A$7:$A$606)&lt;&gt;337)*($L$7:$L$606&lt;=$M337)*($M$7:$M$606&gt;=$L337))&gt;0,"⚠ Çakışma","OK")))</f>
        <v/>
      </c>
      <c r="R337" s="32" t="str">
        <f aca="false">IF($A337="","",IF(OR($N337&lt;&gt;"",$O337="⚠ Çakışma",$P337="⚠ Çakışma",$Q337="⚠ Çakışma"),"⚠ Kontrol Et","✓ Uygun"))</f>
        <v/>
      </c>
    </row>
    <row r="338" customFormat="false" ht="13.5" hidden="false" customHeight="true" outlineLevel="0" collapsed="false">
      <c r="A338" s="32" t="str">
        <f aca="false">IF('2-Gastronomi'!A135="","","Gastronomi ve Mutfak Sanatları")</f>
        <v/>
      </c>
      <c r="B338" s="32" t="str">
        <f aca="false">IF($A338="","",IF('2-Gastronomi'!A135="","",'2-Gastronomi'!A135))</f>
        <v/>
      </c>
      <c r="C338" s="33" t="str">
        <f aca="false">IF($A338="","",IF('2-Gastronomi'!B135="","",'2-Gastronomi'!B135))</f>
        <v/>
      </c>
      <c r="D338" s="32" t="str">
        <f aca="false">IF($A338="","",IF('2-Gastronomi'!C135="","",'2-Gastronomi'!C135))</f>
        <v/>
      </c>
      <c r="E338" s="32" t="str">
        <f aca="false">IF($A338="","",$A338&amp;"-"&amp;$D338)</f>
        <v/>
      </c>
      <c r="F338" s="32" t="str">
        <f aca="false">IF($A338="","",IF('2-Gastronomi'!D135="","",'2-Gastronomi'!D135))</f>
        <v/>
      </c>
      <c r="G338" s="32" t="str">
        <f aca="false">IF($A338="","",IF('2-Gastronomi'!E135="","",'2-Gastronomi'!E135))</f>
        <v/>
      </c>
      <c r="H338" s="32" t="str">
        <f aca="false">IF($A338="","",IF('2-Gastronomi'!F135="","",'2-Gastronomi'!F135))</f>
        <v/>
      </c>
      <c r="I338" s="32" t="str">
        <f aca="false">IF($A338="","",IF('2-Gastronomi'!G135="","",'2-Gastronomi'!G135))</f>
        <v/>
      </c>
      <c r="J338" s="32" t="str">
        <f aca="false">IF($A338="","",IF('2-Gastronomi'!H135="","",'2-Gastronomi'!H135))</f>
        <v/>
      </c>
      <c r="K338" s="32" t="str">
        <f aca="false">IF($A338="","",IF('2-Gastronomi'!I135="","",'2-Gastronomi'!I135))</f>
        <v/>
      </c>
      <c r="L338" s="32" t="str">
        <f aca="false">IF($I338="","",MATCH($I338,{"08.00";"09.00";"10.00";"11.00";"12.00";"13.00";"14.00";"15.00";"16.00";"17.00"},0))</f>
        <v/>
      </c>
      <c r="M338" s="32" t="str">
        <f aca="false">IF(OR($L338="",$J338=""),"",$L338+$J338-1)</f>
        <v/>
      </c>
      <c r="N338" s="32" t="str">
        <f aca="false">IF($A338="","",IF(OR($L338="",$M338=""),"",IF($M338&gt;10,"⚠ Saat Taşıyor","")))</f>
        <v/>
      </c>
      <c r="O338" s="32" t="str">
        <f aca="false">IF($A338="","",IF(OR($G338="",$H338="",$L338=""),"",IF(SUMPRODUCT(($A$7:$A$606&lt;&gt;"")*($G$7:$G$606=$G338)*($H$7:$H$606=$H338)*(ROW($A$7:$A$606)&lt;&gt;338)*($L$7:$L$606&lt;=$M338)*($M$7:$M$606&gt;=$L338))&gt;0,"⚠ Çakışma","OK")))</f>
        <v/>
      </c>
      <c r="P338" s="32" t="str">
        <f aca="false">IF($A338="","",IF(OR($K338="",$H338="",$L338=""),"",IF(SUMPRODUCT(($A$7:$A$606&lt;&gt;"")*($K$7:$K$606=$K338)*($H$7:$H$606=$H338)*(ROW($A$7:$A$606)&lt;&gt;338)*($L$7:$L$606&lt;=$M338)*($M$7:$M$606&gt;=$L338))&gt;0,"⚠ Çakışma","OK")))</f>
        <v/>
      </c>
      <c r="Q338" s="32" t="str">
        <f aca="false">IF($A338="","",IF(OR($E338="",$H338="",$L338=""),"",IF(SUMPRODUCT(($A$7:$A$606&lt;&gt;"")*($E$7:$E$606=$E338)*($H$7:$H$606=$H338)*(ROW($A$7:$A$606)&lt;&gt;338)*($L$7:$L$606&lt;=$M338)*($M$7:$M$606&gt;=$L338))&gt;0,"⚠ Çakışma","OK")))</f>
        <v/>
      </c>
      <c r="R338" s="32" t="str">
        <f aca="false">IF($A338="","",IF(OR($N338&lt;&gt;"",$O338="⚠ Çakışma",$P338="⚠ Çakışma",$Q338="⚠ Çakışma"),"⚠ Kontrol Et","✓ Uygun"))</f>
        <v/>
      </c>
    </row>
    <row r="339" customFormat="false" ht="13.5" hidden="false" customHeight="true" outlineLevel="0" collapsed="false">
      <c r="A339" s="32" t="str">
        <f aca="false">IF('2-Gastronomi'!A136="","","Gastronomi ve Mutfak Sanatları")</f>
        <v/>
      </c>
      <c r="B339" s="32" t="str">
        <f aca="false">IF($A339="","",IF('2-Gastronomi'!A136="","",'2-Gastronomi'!A136))</f>
        <v/>
      </c>
      <c r="C339" s="33" t="str">
        <f aca="false">IF($A339="","",IF('2-Gastronomi'!B136="","",'2-Gastronomi'!B136))</f>
        <v/>
      </c>
      <c r="D339" s="32" t="str">
        <f aca="false">IF($A339="","",IF('2-Gastronomi'!C136="","",'2-Gastronomi'!C136))</f>
        <v/>
      </c>
      <c r="E339" s="32" t="str">
        <f aca="false">IF($A339="","",$A339&amp;"-"&amp;$D339)</f>
        <v/>
      </c>
      <c r="F339" s="32" t="str">
        <f aca="false">IF($A339="","",IF('2-Gastronomi'!D136="","",'2-Gastronomi'!D136))</f>
        <v/>
      </c>
      <c r="G339" s="32" t="str">
        <f aca="false">IF($A339="","",IF('2-Gastronomi'!E136="","",'2-Gastronomi'!E136))</f>
        <v/>
      </c>
      <c r="H339" s="32" t="str">
        <f aca="false">IF($A339="","",IF('2-Gastronomi'!F136="","",'2-Gastronomi'!F136))</f>
        <v/>
      </c>
      <c r="I339" s="32" t="str">
        <f aca="false">IF($A339="","",IF('2-Gastronomi'!G136="","",'2-Gastronomi'!G136))</f>
        <v/>
      </c>
      <c r="J339" s="32" t="str">
        <f aca="false">IF($A339="","",IF('2-Gastronomi'!H136="","",'2-Gastronomi'!H136))</f>
        <v/>
      </c>
      <c r="K339" s="32" t="str">
        <f aca="false">IF($A339="","",IF('2-Gastronomi'!I136="","",'2-Gastronomi'!I136))</f>
        <v/>
      </c>
      <c r="L339" s="32" t="str">
        <f aca="false">IF($I339="","",MATCH($I339,{"08.00";"09.00";"10.00";"11.00";"12.00";"13.00";"14.00";"15.00";"16.00";"17.00"},0))</f>
        <v/>
      </c>
      <c r="M339" s="32" t="str">
        <f aca="false">IF(OR($L339="",$J339=""),"",$L339+$J339-1)</f>
        <v/>
      </c>
      <c r="N339" s="32" t="str">
        <f aca="false">IF($A339="","",IF(OR($L339="",$M339=""),"",IF($M339&gt;10,"⚠ Saat Taşıyor","")))</f>
        <v/>
      </c>
      <c r="O339" s="32" t="str">
        <f aca="false">IF($A339="","",IF(OR($G339="",$H339="",$L339=""),"",IF(SUMPRODUCT(($A$7:$A$606&lt;&gt;"")*($G$7:$G$606=$G339)*($H$7:$H$606=$H339)*(ROW($A$7:$A$606)&lt;&gt;339)*($L$7:$L$606&lt;=$M339)*($M$7:$M$606&gt;=$L339))&gt;0,"⚠ Çakışma","OK")))</f>
        <v/>
      </c>
      <c r="P339" s="32" t="str">
        <f aca="false">IF($A339="","",IF(OR($K339="",$H339="",$L339=""),"",IF(SUMPRODUCT(($A$7:$A$606&lt;&gt;"")*($K$7:$K$606=$K339)*($H$7:$H$606=$H339)*(ROW($A$7:$A$606)&lt;&gt;339)*($L$7:$L$606&lt;=$M339)*($M$7:$M$606&gt;=$L339))&gt;0,"⚠ Çakışma","OK")))</f>
        <v/>
      </c>
      <c r="Q339" s="32" t="str">
        <f aca="false">IF($A339="","",IF(OR($E339="",$H339="",$L339=""),"",IF(SUMPRODUCT(($A$7:$A$606&lt;&gt;"")*($E$7:$E$606=$E339)*($H$7:$H$606=$H339)*(ROW($A$7:$A$606)&lt;&gt;339)*($L$7:$L$606&lt;=$M339)*($M$7:$M$606&gt;=$L339))&gt;0,"⚠ Çakışma","OK")))</f>
        <v/>
      </c>
      <c r="R339" s="32" t="str">
        <f aca="false">IF($A339="","",IF(OR($N339&lt;&gt;"",$O339="⚠ Çakışma",$P339="⚠ Çakışma",$Q339="⚠ Çakışma"),"⚠ Kontrol Et","✓ Uygun"))</f>
        <v/>
      </c>
    </row>
    <row r="340" customFormat="false" ht="13.5" hidden="false" customHeight="true" outlineLevel="0" collapsed="false">
      <c r="A340" s="32" t="str">
        <f aca="false">IF('2-Gastronomi'!A137="","","Gastronomi ve Mutfak Sanatları")</f>
        <v/>
      </c>
      <c r="B340" s="32" t="str">
        <f aca="false">IF($A340="","",IF('2-Gastronomi'!A137="","",'2-Gastronomi'!A137))</f>
        <v/>
      </c>
      <c r="C340" s="33" t="str">
        <f aca="false">IF($A340="","",IF('2-Gastronomi'!B137="","",'2-Gastronomi'!B137))</f>
        <v/>
      </c>
      <c r="D340" s="32" t="str">
        <f aca="false">IF($A340="","",IF('2-Gastronomi'!C137="","",'2-Gastronomi'!C137))</f>
        <v/>
      </c>
      <c r="E340" s="32" t="str">
        <f aca="false">IF($A340="","",$A340&amp;"-"&amp;$D340)</f>
        <v/>
      </c>
      <c r="F340" s="32" t="str">
        <f aca="false">IF($A340="","",IF('2-Gastronomi'!D137="","",'2-Gastronomi'!D137))</f>
        <v/>
      </c>
      <c r="G340" s="32" t="str">
        <f aca="false">IF($A340="","",IF('2-Gastronomi'!E137="","",'2-Gastronomi'!E137))</f>
        <v/>
      </c>
      <c r="H340" s="32" t="str">
        <f aca="false">IF($A340="","",IF('2-Gastronomi'!F137="","",'2-Gastronomi'!F137))</f>
        <v/>
      </c>
      <c r="I340" s="32" t="str">
        <f aca="false">IF($A340="","",IF('2-Gastronomi'!G137="","",'2-Gastronomi'!G137))</f>
        <v/>
      </c>
      <c r="J340" s="32" t="str">
        <f aca="false">IF($A340="","",IF('2-Gastronomi'!H137="","",'2-Gastronomi'!H137))</f>
        <v/>
      </c>
      <c r="K340" s="32" t="str">
        <f aca="false">IF($A340="","",IF('2-Gastronomi'!I137="","",'2-Gastronomi'!I137))</f>
        <v/>
      </c>
      <c r="L340" s="32" t="str">
        <f aca="false">IF($I340="","",MATCH($I340,{"08.00";"09.00";"10.00";"11.00";"12.00";"13.00";"14.00";"15.00";"16.00";"17.00"},0))</f>
        <v/>
      </c>
      <c r="M340" s="32" t="str">
        <f aca="false">IF(OR($L340="",$J340=""),"",$L340+$J340-1)</f>
        <v/>
      </c>
      <c r="N340" s="32" t="str">
        <f aca="false">IF($A340="","",IF(OR($L340="",$M340=""),"",IF($M340&gt;10,"⚠ Saat Taşıyor","")))</f>
        <v/>
      </c>
      <c r="O340" s="32" t="str">
        <f aca="false">IF($A340="","",IF(OR($G340="",$H340="",$L340=""),"",IF(SUMPRODUCT(($A$7:$A$606&lt;&gt;"")*($G$7:$G$606=$G340)*($H$7:$H$606=$H340)*(ROW($A$7:$A$606)&lt;&gt;340)*($L$7:$L$606&lt;=$M340)*($M$7:$M$606&gt;=$L340))&gt;0,"⚠ Çakışma","OK")))</f>
        <v/>
      </c>
      <c r="P340" s="32" t="str">
        <f aca="false">IF($A340="","",IF(OR($K340="",$H340="",$L340=""),"",IF(SUMPRODUCT(($A$7:$A$606&lt;&gt;"")*($K$7:$K$606=$K340)*($H$7:$H$606=$H340)*(ROW($A$7:$A$606)&lt;&gt;340)*($L$7:$L$606&lt;=$M340)*($M$7:$M$606&gt;=$L340))&gt;0,"⚠ Çakışma","OK")))</f>
        <v/>
      </c>
      <c r="Q340" s="32" t="str">
        <f aca="false">IF($A340="","",IF(OR($E340="",$H340="",$L340=""),"",IF(SUMPRODUCT(($A$7:$A$606&lt;&gt;"")*($E$7:$E$606=$E340)*($H$7:$H$606=$H340)*(ROW($A$7:$A$606)&lt;&gt;340)*($L$7:$L$606&lt;=$M340)*($M$7:$M$606&gt;=$L340))&gt;0,"⚠ Çakışma","OK")))</f>
        <v/>
      </c>
      <c r="R340" s="32" t="str">
        <f aca="false">IF($A340="","",IF(OR($N340&lt;&gt;"",$O340="⚠ Çakışma",$P340="⚠ Çakışma",$Q340="⚠ Çakışma"),"⚠ Kontrol Et","✓ Uygun"))</f>
        <v/>
      </c>
    </row>
    <row r="341" customFormat="false" ht="13.5" hidden="false" customHeight="true" outlineLevel="0" collapsed="false">
      <c r="A341" s="32" t="str">
        <f aca="false">IF('2-Gastronomi'!A138="","","Gastronomi ve Mutfak Sanatları")</f>
        <v/>
      </c>
      <c r="B341" s="32" t="str">
        <f aca="false">IF($A341="","",IF('2-Gastronomi'!A138="","",'2-Gastronomi'!A138))</f>
        <v/>
      </c>
      <c r="C341" s="33" t="str">
        <f aca="false">IF($A341="","",IF('2-Gastronomi'!B138="","",'2-Gastronomi'!B138))</f>
        <v/>
      </c>
      <c r="D341" s="32" t="str">
        <f aca="false">IF($A341="","",IF('2-Gastronomi'!C138="","",'2-Gastronomi'!C138))</f>
        <v/>
      </c>
      <c r="E341" s="32" t="str">
        <f aca="false">IF($A341="","",$A341&amp;"-"&amp;$D341)</f>
        <v/>
      </c>
      <c r="F341" s="32" t="str">
        <f aca="false">IF($A341="","",IF('2-Gastronomi'!D138="","",'2-Gastronomi'!D138))</f>
        <v/>
      </c>
      <c r="G341" s="32" t="str">
        <f aca="false">IF($A341="","",IF('2-Gastronomi'!E138="","",'2-Gastronomi'!E138))</f>
        <v/>
      </c>
      <c r="H341" s="32" t="str">
        <f aca="false">IF($A341="","",IF('2-Gastronomi'!F138="","",'2-Gastronomi'!F138))</f>
        <v/>
      </c>
      <c r="I341" s="32" t="str">
        <f aca="false">IF($A341="","",IF('2-Gastronomi'!G138="","",'2-Gastronomi'!G138))</f>
        <v/>
      </c>
      <c r="J341" s="32" t="str">
        <f aca="false">IF($A341="","",IF('2-Gastronomi'!H138="","",'2-Gastronomi'!H138))</f>
        <v/>
      </c>
      <c r="K341" s="32" t="str">
        <f aca="false">IF($A341="","",IF('2-Gastronomi'!I138="","",'2-Gastronomi'!I138))</f>
        <v/>
      </c>
      <c r="L341" s="32" t="str">
        <f aca="false">IF($I341="","",MATCH($I341,{"08.00";"09.00";"10.00";"11.00";"12.00";"13.00";"14.00";"15.00";"16.00";"17.00"},0))</f>
        <v/>
      </c>
      <c r="M341" s="32" t="str">
        <f aca="false">IF(OR($L341="",$J341=""),"",$L341+$J341-1)</f>
        <v/>
      </c>
      <c r="N341" s="32" t="str">
        <f aca="false">IF($A341="","",IF(OR($L341="",$M341=""),"",IF($M341&gt;10,"⚠ Saat Taşıyor","")))</f>
        <v/>
      </c>
      <c r="O341" s="32" t="str">
        <f aca="false">IF($A341="","",IF(OR($G341="",$H341="",$L341=""),"",IF(SUMPRODUCT(($A$7:$A$606&lt;&gt;"")*($G$7:$G$606=$G341)*($H$7:$H$606=$H341)*(ROW($A$7:$A$606)&lt;&gt;341)*($L$7:$L$606&lt;=$M341)*($M$7:$M$606&gt;=$L341))&gt;0,"⚠ Çakışma","OK")))</f>
        <v/>
      </c>
      <c r="P341" s="32" t="str">
        <f aca="false">IF($A341="","",IF(OR($K341="",$H341="",$L341=""),"",IF(SUMPRODUCT(($A$7:$A$606&lt;&gt;"")*($K$7:$K$606=$K341)*($H$7:$H$606=$H341)*(ROW($A$7:$A$606)&lt;&gt;341)*($L$7:$L$606&lt;=$M341)*($M$7:$M$606&gt;=$L341))&gt;0,"⚠ Çakışma","OK")))</f>
        <v/>
      </c>
      <c r="Q341" s="32" t="str">
        <f aca="false">IF($A341="","",IF(OR($E341="",$H341="",$L341=""),"",IF(SUMPRODUCT(($A$7:$A$606&lt;&gt;"")*($E$7:$E$606=$E341)*($H$7:$H$606=$H341)*(ROW($A$7:$A$606)&lt;&gt;341)*($L$7:$L$606&lt;=$M341)*($M$7:$M$606&gt;=$L341))&gt;0,"⚠ Çakışma","OK")))</f>
        <v/>
      </c>
      <c r="R341" s="32" t="str">
        <f aca="false">IF($A341="","",IF(OR($N341&lt;&gt;"",$O341="⚠ Çakışma",$P341="⚠ Çakışma",$Q341="⚠ Çakışma"),"⚠ Kontrol Et","✓ Uygun"))</f>
        <v/>
      </c>
    </row>
    <row r="342" customFormat="false" ht="13.5" hidden="false" customHeight="true" outlineLevel="0" collapsed="false">
      <c r="A342" s="32" t="str">
        <f aca="false">IF('2-Gastronomi'!A139="","","Gastronomi ve Mutfak Sanatları")</f>
        <v/>
      </c>
      <c r="B342" s="32" t="str">
        <f aca="false">IF($A342="","",IF('2-Gastronomi'!A139="","",'2-Gastronomi'!A139))</f>
        <v/>
      </c>
      <c r="C342" s="33" t="str">
        <f aca="false">IF($A342="","",IF('2-Gastronomi'!B139="","",'2-Gastronomi'!B139))</f>
        <v/>
      </c>
      <c r="D342" s="32" t="str">
        <f aca="false">IF($A342="","",IF('2-Gastronomi'!C139="","",'2-Gastronomi'!C139))</f>
        <v/>
      </c>
      <c r="E342" s="32" t="str">
        <f aca="false">IF($A342="","",$A342&amp;"-"&amp;$D342)</f>
        <v/>
      </c>
      <c r="F342" s="32" t="str">
        <f aca="false">IF($A342="","",IF('2-Gastronomi'!D139="","",'2-Gastronomi'!D139))</f>
        <v/>
      </c>
      <c r="G342" s="32" t="str">
        <f aca="false">IF($A342="","",IF('2-Gastronomi'!E139="","",'2-Gastronomi'!E139))</f>
        <v/>
      </c>
      <c r="H342" s="32" t="str">
        <f aca="false">IF($A342="","",IF('2-Gastronomi'!F139="","",'2-Gastronomi'!F139))</f>
        <v/>
      </c>
      <c r="I342" s="32" t="str">
        <f aca="false">IF($A342="","",IF('2-Gastronomi'!G139="","",'2-Gastronomi'!G139))</f>
        <v/>
      </c>
      <c r="J342" s="32" t="str">
        <f aca="false">IF($A342="","",IF('2-Gastronomi'!H139="","",'2-Gastronomi'!H139))</f>
        <v/>
      </c>
      <c r="K342" s="32" t="str">
        <f aca="false">IF($A342="","",IF('2-Gastronomi'!I139="","",'2-Gastronomi'!I139))</f>
        <v/>
      </c>
      <c r="L342" s="32" t="str">
        <f aca="false">IF($I342="","",MATCH($I342,{"08.00";"09.00";"10.00";"11.00";"12.00";"13.00";"14.00";"15.00";"16.00";"17.00"},0))</f>
        <v/>
      </c>
      <c r="M342" s="32" t="str">
        <f aca="false">IF(OR($L342="",$J342=""),"",$L342+$J342-1)</f>
        <v/>
      </c>
      <c r="N342" s="32" t="str">
        <f aca="false">IF($A342="","",IF(OR($L342="",$M342=""),"",IF($M342&gt;10,"⚠ Saat Taşıyor","")))</f>
        <v/>
      </c>
      <c r="O342" s="32" t="str">
        <f aca="false">IF($A342="","",IF(OR($G342="",$H342="",$L342=""),"",IF(SUMPRODUCT(($A$7:$A$606&lt;&gt;"")*($G$7:$G$606=$G342)*($H$7:$H$606=$H342)*(ROW($A$7:$A$606)&lt;&gt;342)*($L$7:$L$606&lt;=$M342)*($M$7:$M$606&gt;=$L342))&gt;0,"⚠ Çakışma","OK")))</f>
        <v/>
      </c>
      <c r="P342" s="32" t="str">
        <f aca="false">IF($A342="","",IF(OR($K342="",$H342="",$L342=""),"",IF(SUMPRODUCT(($A$7:$A$606&lt;&gt;"")*($K$7:$K$606=$K342)*($H$7:$H$606=$H342)*(ROW($A$7:$A$606)&lt;&gt;342)*($L$7:$L$606&lt;=$M342)*($M$7:$M$606&gt;=$L342))&gt;0,"⚠ Çakışma","OK")))</f>
        <v/>
      </c>
      <c r="Q342" s="32" t="str">
        <f aca="false">IF($A342="","",IF(OR($E342="",$H342="",$L342=""),"",IF(SUMPRODUCT(($A$7:$A$606&lt;&gt;"")*($E$7:$E$606=$E342)*($H$7:$H$606=$H342)*(ROW($A$7:$A$606)&lt;&gt;342)*($L$7:$L$606&lt;=$M342)*($M$7:$M$606&gt;=$L342))&gt;0,"⚠ Çakışma","OK")))</f>
        <v/>
      </c>
      <c r="R342" s="32" t="str">
        <f aca="false">IF($A342="","",IF(OR($N342&lt;&gt;"",$O342="⚠ Çakışma",$P342="⚠ Çakışma",$Q342="⚠ Çakışma"),"⚠ Kontrol Et","✓ Uygun"))</f>
        <v/>
      </c>
    </row>
    <row r="343" customFormat="false" ht="13.5" hidden="false" customHeight="true" outlineLevel="0" collapsed="false">
      <c r="A343" s="32" t="str">
        <f aca="false">IF('2-Gastronomi'!A140="","","Gastronomi ve Mutfak Sanatları")</f>
        <v/>
      </c>
      <c r="B343" s="32" t="str">
        <f aca="false">IF($A343="","",IF('2-Gastronomi'!A140="","",'2-Gastronomi'!A140))</f>
        <v/>
      </c>
      <c r="C343" s="33" t="str">
        <f aca="false">IF($A343="","",IF('2-Gastronomi'!B140="","",'2-Gastronomi'!B140))</f>
        <v/>
      </c>
      <c r="D343" s="32" t="str">
        <f aca="false">IF($A343="","",IF('2-Gastronomi'!C140="","",'2-Gastronomi'!C140))</f>
        <v/>
      </c>
      <c r="E343" s="32" t="str">
        <f aca="false">IF($A343="","",$A343&amp;"-"&amp;$D343)</f>
        <v/>
      </c>
      <c r="F343" s="32" t="str">
        <f aca="false">IF($A343="","",IF('2-Gastronomi'!D140="","",'2-Gastronomi'!D140))</f>
        <v/>
      </c>
      <c r="G343" s="32" t="str">
        <f aca="false">IF($A343="","",IF('2-Gastronomi'!E140="","",'2-Gastronomi'!E140))</f>
        <v/>
      </c>
      <c r="H343" s="32" t="str">
        <f aca="false">IF($A343="","",IF('2-Gastronomi'!F140="","",'2-Gastronomi'!F140))</f>
        <v/>
      </c>
      <c r="I343" s="32" t="str">
        <f aca="false">IF($A343="","",IF('2-Gastronomi'!G140="","",'2-Gastronomi'!G140))</f>
        <v/>
      </c>
      <c r="J343" s="32" t="str">
        <f aca="false">IF($A343="","",IF('2-Gastronomi'!H140="","",'2-Gastronomi'!H140))</f>
        <v/>
      </c>
      <c r="K343" s="32" t="str">
        <f aca="false">IF($A343="","",IF('2-Gastronomi'!I140="","",'2-Gastronomi'!I140))</f>
        <v/>
      </c>
      <c r="L343" s="32" t="str">
        <f aca="false">IF($I343="","",MATCH($I343,{"08.00";"09.00";"10.00";"11.00";"12.00";"13.00";"14.00";"15.00";"16.00";"17.00"},0))</f>
        <v/>
      </c>
      <c r="M343" s="32" t="str">
        <f aca="false">IF(OR($L343="",$J343=""),"",$L343+$J343-1)</f>
        <v/>
      </c>
      <c r="N343" s="32" t="str">
        <f aca="false">IF($A343="","",IF(OR($L343="",$M343=""),"",IF($M343&gt;10,"⚠ Saat Taşıyor","")))</f>
        <v/>
      </c>
      <c r="O343" s="32" t="str">
        <f aca="false">IF($A343="","",IF(OR($G343="",$H343="",$L343=""),"",IF(SUMPRODUCT(($A$7:$A$606&lt;&gt;"")*($G$7:$G$606=$G343)*($H$7:$H$606=$H343)*(ROW($A$7:$A$606)&lt;&gt;343)*($L$7:$L$606&lt;=$M343)*($M$7:$M$606&gt;=$L343))&gt;0,"⚠ Çakışma","OK")))</f>
        <v/>
      </c>
      <c r="P343" s="32" t="str">
        <f aca="false">IF($A343="","",IF(OR($K343="",$H343="",$L343=""),"",IF(SUMPRODUCT(($A$7:$A$606&lt;&gt;"")*($K$7:$K$606=$K343)*($H$7:$H$606=$H343)*(ROW($A$7:$A$606)&lt;&gt;343)*($L$7:$L$606&lt;=$M343)*($M$7:$M$606&gt;=$L343))&gt;0,"⚠ Çakışma","OK")))</f>
        <v/>
      </c>
      <c r="Q343" s="32" t="str">
        <f aca="false">IF($A343="","",IF(OR($E343="",$H343="",$L343=""),"",IF(SUMPRODUCT(($A$7:$A$606&lt;&gt;"")*($E$7:$E$606=$E343)*($H$7:$H$606=$H343)*(ROW($A$7:$A$606)&lt;&gt;343)*($L$7:$L$606&lt;=$M343)*($M$7:$M$606&gt;=$L343))&gt;0,"⚠ Çakışma","OK")))</f>
        <v/>
      </c>
      <c r="R343" s="32" t="str">
        <f aca="false">IF($A343="","",IF(OR($N343&lt;&gt;"",$O343="⚠ Çakışma",$P343="⚠ Çakışma",$Q343="⚠ Çakışma"),"⚠ Kontrol Et","✓ Uygun"))</f>
        <v/>
      </c>
    </row>
    <row r="344" customFormat="false" ht="13.5" hidden="false" customHeight="true" outlineLevel="0" collapsed="false">
      <c r="A344" s="32" t="str">
        <f aca="false">IF('2-Gastronomi'!A141="","","Gastronomi ve Mutfak Sanatları")</f>
        <v/>
      </c>
      <c r="B344" s="32" t="str">
        <f aca="false">IF($A344="","",IF('2-Gastronomi'!A141="","",'2-Gastronomi'!A141))</f>
        <v/>
      </c>
      <c r="C344" s="33" t="str">
        <f aca="false">IF($A344="","",IF('2-Gastronomi'!B141="","",'2-Gastronomi'!B141))</f>
        <v/>
      </c>
      <c r="D344" s="32" t="str">
        <f aca="false">IF($A344="","",IF('2-Gastronomi'!C141="","",'2-Gastronomi'!C141))</f>
        <v/>
      </c>
      <c r="E344" s="32" t="str">
        <f aca="false">IF($A344="","",$A344&amp;"-"&amp;$D344)</f>
        <v/>
      </c>
      <c r="F344" s="32" t="str">
        <f aca="false">IF($A344="","",IF('2-Gastronomi'!D141="","",'2-Gastronomi'!D141))</f>
        <v/>
      </c>
      <c r="G344" s="32" t="str">
        <f aca="false">IF($A344="","",IF('2-Gastronomi'!E141="","",'2-Gastronomi'!E141))</f>
        <v/>
      </c>
      <c r="H344" s="32" t="str">
        <f aca="false">IF($A344="","",IF('2-Gastronomi'!F141="","",'2-Gastronomi'!F141))</f>
        <v/>
      </c>
      <c r="I344" s="32" t="str">
        <f aca="false">IF($A344="","",IF('2-Gastronomi'!G141="","",'2-Gastronomi'!G141))</f>
        <v/>
      </c>
      <c r="J344" s="32" t="str">
        <f aca="false">IF($A344="","",IF('2-Gastronomi'!H141="","",'2-Gastronomi'!H141))</f>
        <v/>
      </c>
      <c r="K344" s="32" t="str">
        <f aca="false">IF($A344="","",IF('2-Gastronomi'!I141="","",'2-Gastronomi'!I141))</f>
        <v/>
      </c>
      <c r="L344" s="32" t="str">
        <f aca="false">IF($I344="","",MATCH($I344,{"08.00";"09.00";"10.00";"11.00";"12.00";"13.00";"14.00";"15.00";"16.00";"17.00"},0))</f>
        <v/>
      </c>
      <c r="M344" s="32" t="str">
        <f aca="false">IF(OR($L344="",$J344=""),"",$L344+$J344-1)</f>
        <v/>
      </c>
      <c r="N344" s="32" t="str">
        <f aca="false">IF($A344="","",IF(OR($L344="",$M344=""),"",IF($M344&gt;10,"⚠ Saat Taşıyor","")))</f>
        <v/>
      </c>
      <c r="O344" s="32" t="str">
        <f aca="false">IF($A344="","",IF(OR($G344="",$H344="",$L344=""),"",IF(SUMPRODUCT(($A$7:$A$606&lt;&gt;"")*($G$7:$G$606=$G344)*($H$7:$H$606=$H344)*(ROW($A$7:$A$606)&lt;&gt;344)*($L$7:$L$606&lt;=$M344)*($M$7:$M$606&gt;=$L344))&gt;0,"⚠ Çakışma","OK")))</f>
        <v/>
      </c>
      <c r="P344" s="32" t="str">
        <f aca="false">IF($A344="","",IF(OR($K344="",$H344="",$L344=""),"",IF(SUMPRODUCT(($A$7:$A$606&lt;&gt;"")*($K$7:$K$606=$K344)*($H$7:$H$606=$H344)*(ROW($A$7:$A$606)&lt;&gt;344)*($L$7:$L$606&lt;=$M344)*($M$7:$M$606&gt;=$L344))&gt;0,"⚠ Çakışma","OK")))</f>
        <v/>
      </c>
      <c r="Q344" s="32" t="str">
        <f aca="false">IF($A344="","",IF(OR($E344="",$H344="",$L344=""),"",IF(SUMPRODUCT(($A$7:$A$606&lt;&gt;"")*($E$7:$E$606=$E344)*($H$7:$H$606=$H344)*(ROW($A$7:$A$606)&lt;&gt;344)*($L$7:$L$606&lt;=$M344)*($M$7:$M$606&gt;=$L344))&gt;0,"⚠ Çakışma","OK")))</f>
        <v/>
      </c>
      <c r="R344" s="32" t="str">
        <f aca="false">IF($A344="","",IF(OR($N344&lt;&gt;"",$O344="⚠ Çakışma",$P344="⚠ Çakışma",$Q344="⚠ Çakışma"),"⚠ Kontrol Et","✓ Uygun"))</f>
        <v/>
      </c>
    </row>
    <row r="345" customFormat="false" ht="13.5" hidden="false" customHeight="true" outlineLevel="0" collapsed="false">
      <c r="A345" s="32" t="str">
        <f aca="false">IF('2-Gastronomi'!A142="","","Gastronomi ve Mutfak Sanatları")</f>
        <v/>
      </c>
      <c r="B345" s="32" t="str">
        <f aca="false">IF($A345="","",IF('2-Gastronomi'!A142="","",'2-Gastronomi'!A142))</f>
        <v/>
      </c>
      <c r="C345" s="33" t="str">
        <f aca="false">IF($A345="","",IF('2-Gastronomi'!B142="","",'2-Gastronomi'!B142))</f>
        <v/>
      </c>
      <c r="D345" s="32" t="str">
        <f aca="false">IF($A345="","",IF('2-Gastronomi'!C142="","",'2-Gastronomi'!C142))</f>
        <v/>
      </c>
      <c r="E345" s="32" t="str">
        <f aca="false">IF($A345="","",$A345&amp;"-"&amp;$D345)</f>
        <v/>
      </c>
      <c r="F345" s="32" t="str">
        <f aca="false">IF($A345="","",IF('2-Gastronomi'!D142="","",'2-Gastronomi'!D142))</f>
        <v/>
      </c>
      <c r="G345" s="32" t="str">
        <f aca="false">IF($A345="","",IF('2-Gastronomi'!E142="","",'2-Gastronomi'!E142))</f>
        <v/>
      </c>
      <c r="H345" s="32" t="str">
        <f aca="false">IF($A345="","",IF('2-Gastronomi'!F142="","",'2-Gastronomi'!F142))</f>
        <v/>
      </c>
      <c r="I345" s="32" t="str">
        <f aca="false">IF($A345="","",IF('2-Gastronomi'!G142="","",'2-Gastronomi'!G142))</f>
        <v/>
      </c>
      <c r="J345" s="32" t="str">
        <f aca="false">IF($A345="","",IF('2-Gastronomi'!H142="","",'2-Gastronomi'!H142))</f>
        <v/>
      </c>
      <c r="K345" s="32" t="str">
        <f aca="false">IF($A345="","",IF('2-Gastronomi'!I142="","",'2-Gastronomi'!I142))</f>
        <v/>
      </c>
      <c r="L345" s="32" t="str">
        <f aca="false">IF($I345="","",MATCH($I345,{"08.00";"09.00";"10.00";"11.00";"12.00";"13.00";"14.00";"15.00";"16.00";"17.00"},0))</f>
        <v/>
      </c>
      <c r="M345" s="32" t="str">
        <f aca="false">IF(OR($L345="",$J345=""),"",$L345+$J345-1)</f>
        <v/>
      </c>
      <c r="N345" s="32" t="str">
        <f aca="false">IF($A345="","",IF(OR($L345="",$M345=""),"",IF($M345&gt;10,"⚠ Saat Taşıyor","")))</f>
        <v/>
      </c>
      <c r="O345" s="32" t="str">
        <f aca="false">IF($A345="","",IF(OR($G345="",$H345="",$L345=""),"",IF(SUMPRODUCT(($A$7:$A$606&lt;&gt;"")*($G$7:$G$606=$G345)*($H$7:$H$606=$H345)*(ROW($A$7:$A$606)&lt;&gt;345)*($L$7:$L$606&lt;=$M345)*($M$7:$M$606&gt;=$L345))&gt;0,"⚠ Çakışma","OK")))</f>
        <v/>
      </c>
      <c r="P345" s="32" t="str">
        <f aca="false">IF($A345="","",IF(OR($K345="",$H345="",$L345=""),"",IF(SUMPRODUCT(($A$7:$A$606&lt;&gt;"")*($K$7:$K$606=$K345)*($H$7:$H$606=$H345)*(ROW($A$7:$A$606)&lt;&gt;345)*($L$7:$L$606&lt;=$M345)*($M$7:$M$606&gt;=$L345))&gt;0,"⚠ Çakışma","OK")))</f>
        <v/>
      </c>
      <c r="Q345" s="32" t="str">
        <f aca="false">IF($A345="","",IF(OR($E345="",$H345="",$L345=""),"",IF(SUMPRODUCT(($A$7:$A$606&lt;&gt;"")*($E$7:$E$606=$E345)*($H$7:$H$606=$H345)*(ROW($A$7:$A$606)&lt;&gt;345)*($L$7:$L$606&lt;=$M345)*($M$7:$M$606&gt;=$L345))&gt;0,"⚠ Çakışma","OK")))</f>
        <v/>
      </c>
      <c r="R345" s="32" t="str">
        <f aca="false">IF($A345="","",IF(OR($N345&lt;&gt;"",$O345="⚠ Çakışma",$P345="⚠ Çakışma",$Q345="⚠ Çakışma"),"⚠ Kontrol Et","✓ Uygun"))</f>
        <v/>
      </c>
    </row>
    <row r="346" customFormat="false" ht="13.5" hidden="false" customHeight="true" outlineLevel="0" collapsed="false">
      <c r="A346" s="32" t="str">
        <f aca="false">IF('2-Gastronomi'!A143="","","Gastronomi ve Mutfak Sanatları")</f>
        <v/>
      </c>
      <c r="B346" s="32" t="str">
        <f aca="false">IF($A346="","",IF('2-Gastronomi'!A143="","",'2-Gastronomi'!A143))</f>
        <v/>
      </c>
      <c r="C346" s="33" t="str">
        <f aca="false">IF($A346="","",IF('2-Gastronomi'!B143="","",'2-Gastronomi'!B143))</f>
        <v/>
      </c>
      <c r="D346" s="32" t="str">
        <f aca="false">IF($A346="","",IF('2-Gastronomi'!C143="","",'2-Gastronomi'!C143))</f>
        <v/>
      </c>
      <c r="E346" s="32" t="str">
        <f aca="false">IF($A346="","",$A346&amp;"-"&amp;$D346)</f>
        <v/>
      </c>
      <c r="F346" s="32" t="str">
        <f aca="false">IF($A346="","",IF('2-Gastronomi'!D143="","",'2-Gastronomi'!D143))</f>
        <v/>
      </c>
      <c r="G346" s="32" t="str">
        <f aca="false">IF($A346="","",IF('2-Gastronomi'!E143="","",'2-Gastronomi'!E143))</f>
        <v/>
      </c>
      <c r="H346" s="32" t="str">
        <f aca="false">IF($A346="","",IF('2-Gastronomi'!F143="","",'2-Gastronomi'!F143))</f>
        <v/>
      </c>
      <c r="I346" s="32" t="str">
        <f aca="false">IF($A346="","",IF('2-Gastronomi'!G143="","",'2-Gastronomi'!G143))</f>
        <v/>
      </c>
      <c r="J346" s="32" t="str">
        <f aca="false">IF($A346="","",IF('2-Gastronomi'!H143="","",'2-Gastronomi'!H143))</f>
        <v/>
      </c>
      <c r="K346" s="32" t="str">
        <f aca="false">IF($A346="","",IF('2-Gastronomi'!I143="","",'2-Gastronomi'!I143))</f>
        <v/>
      </c>
      <c r="L346" s="32" t="str">
        <f aca="false">IF($I346="","",MATCH($I346,{"08.00";"09.00";"10.00";"11.00";"12.00";"13.00";"14.00";"15.00";"16.00";"17.00"},0))</f>
        <v/>
      </c>
      <c r="M346" s="32" t="str">
        <f aca="false">IF(OR($L346="",$J346=""),"",$L346+$J346-1)</f>
        <v/>
      </c>
      <c r="N346" s="32" t="str">
        <f aca="false">IF($A346="","",IF(OR($L346="",$M346=""),"",IF($M346&gt;10,"⚠ Saat Taşıyor","")))</f>
        <v/>
      </c>
      <c r="O346" s="32" t="str">
        <f aca="false">IF($A346="","",IF(OR($G346="",$H346="",$L346=""),"",IF(SUMPRODUCT(($A$7:$A$606&lt;&gt;"")*($G$7:$G$606=$G346)*($H$7:$H$606=$H346)*(ROW($A$7:$A$606)&lt;&gt;346)*($L$7:$L$606&lt;=$M346)*($M$7:$M$606&gt;=$L346))&gt;0,"⚠ Çakışma","OK")))</f>
        <v/>
      </c>
      <c r="P346" s="32" t="str">
        <f aca="false">IF($A346="","",IF(OR($K346="",$H346="",$L346=""),"",IF(SUMPRODUCT(($A$7:$A$606&lt;&gt;"")*($K$7:$K$606=$K346)*($H$7:$H$606=$H346)*(ROW($A$7:$A$606)&lt;&gt;346)*($L$7:$L$606&lt;=$M346)*($M$7:$M$606&gt;=$L346))&gt;0,"⚠ Çakışma","OK")))</f>
        <v/>
      </c>
      <c r="Q346" s="32" t="str">
        <f aca="false">IF($A346="","",IF(OR($E346="",$H346="",$L346=""),"",IF(SUMPRODUCT(($A$7:$A$606&lt;&gt;"")*($E$7:$E$606=$E346)*($H$7:$H$606=$H346)*(ROW($A$7:$A$606)&lt;&gt;346)*($L$7:$L$606&lt;=$M346)*($M$7:$M$606&gt;=$L346))&gt;0,"⚠ Çakışma","OK")))</f>
        <v/>
      </c>
      <c r="R346" s="32" t="str">
        <f aca="false">IF($A346="","",IF(OR($N346&lt;&gt;"",$O346="⚠ Çakışma",$P346="⚠ Çakışma",$Q346="⚠ Çakışma"),"⚠ Kontrol Et","✓ Uygun"))</f>
        <v/>
      </c>
    </row>
    <row r="347" customFormat="false" ht="13.5" hidden="false" customHeight="true" outlineLevel="0" collapsed="false">
      <c r="A347" s="32" t="str">
        <f aca="false">IF('2-Gastronomi'!A144="","","Gastronomi ve Mutfak Sanatları")</f>
        <v/>
      </c>
      <c r="B347" s="32" t="str">
        <f aca="false">IF($A347="","",IF('2-Gastronomi'!A144="","",'2-Gastronomi'!A144))</f>
        <v/>
      </c>
      <c r="C347" s="33" t="str">
        <f aca="false">IF($A347="","",IF('2-Gastronomi'!B144="","",'2-Gastronomi'!B144))</f>
        <v/>
      </c>
      <c r="D347" s="32" t="str">
        <f aca="false">IF($A347="","",IF('2-Gastronomi'!C144="","",'2-Gastronomi'!C144))</f>
        <v/>
      </c>
      <c r="E347" s="32" t="str">
        <f aca="false">IF($A347="","",$A347&amp;"-"&amp;$D347)</f>
        <v/>
      </c>
      <c r="F347" s="32" t="str">
        <f aca="false">IF($A347="","",IF('2-Gastronomi'!D144="","",'2-Gastronomi'!D144))</f>
        <v/>
      </c>
      <c r="G347" s="32" t="str">
        <f aca="false">IF($A347="","",IF('2-Gastronomi'!E144="","",'2-Gastronomi'!E144))</f>
        <v/>
      </c>
      <c r="H347" s="32" t="str">
        <f aca="false">IF($A347="","",IF('2-Gastronomi'!F144="","",'2-Gastronomi'!F144))</f>
        <v/>
      </c>
      <c r="I347" s="32" t="str">
        <f aca="false">IF($A347="","",IF('2-Gastronomi'!G144="","",'2-Gastronomi'!G144))</f>
        <v/>
      </c>
      <c r="J347" s="32" t="str">
        <f aca="false">IF($A347="","",IF('2-Gastronomi'!H144="","",'2-Gastronomi'!H144))</f>
        <v/>
      </c>
      <c r="K347" s="32" t="str">
        <f aca="false">IF($A347="","",IF('2-Gastronomi'!I144="","",'2-Gastronomi'!I144))</f>
        <v/>
      </c>
      <c r="L347" s="32" t="str">
        <f aca="false">IF($I347="","",MATCH($I347,{"08.00";"09.00";"10.00";"11.00";"12.00";"13.00";"14.00";"15.00";"16.00";"17.00"},0))</f>
        <v/>
      </c>
      <c r="M347" s="32" t="str">
        <f aca="false">IF(OR($L347="",$J347=""),"",$L347+$J347-1)</f>
        <v/>
      </c>
      <c r="N347" s="32" t="str">
        <f aca="false">IF($A347="","",IF(OR($L347="",$M347=""),"",IF($M347&gt;10,"⚠ Saat Taşıyor","")))</f>
        <v/>
      </c>
      <c r="O347" s="32" t="str">
        <f aca="false">IF($A347="","",IF(OR($G347="",$H347="",$L347=""),"",IF(SUMPRODUCT(($A$7:$A$606&lt;&gt;"")*($G$7:$G$606=$G347)*($H$7:$H$606=$H347)*(ROW($A$7:$A$606)&lt;&gt;347)*($L$7:$L$606&lt;=$M347)*($M$7:$M$606&gt;=$L347))&gt;0,"⚠ Çakışma","OK")))</f>
        <v/>
      </c>
      <c r="P347" s="32" t="str">
        <f aca="false">IF($A347="","",IF(OR($K347="",$H347="",$L347=""),"",IF(SUMPRODUCT(($A$7:$A$606&lt;&gt;"")*($K$7:$K$606=$K347)*($H$7:$H$606=$H347)*(ROW($A$7:$A$606)&lt;&gt;347)*($L$7:$L$606&lt;=$M347)*($M$7:$M$606&gt;=$L347))&gt;0,"⚠ Çakışma","OK")))</f>
        <v/>
      </c>
      <c r="Q347" s="32" t="str">
        <f aca="false">IF($A347="","",IF(OR($E347="",$H347="",$L347=""),"",IF(SUMPRODUCT(($A$7:$A$606&lt;&gt;"")*($E$7:$E$606=$E347)*($H$7:$H$606=$H347)*(ROW($A$7:$A$606)&lt;&gt;347)*($L$7:$L$606&lt;=$M347)*($M$7:$M$606&gt;=$L347))&gt;0,"⚠ Çakışma","OK")))</f>
        <v/>
      </c>
      <c r="R347" s="32" t="str">
        <f aca="false">IF($A347="","",IF(OR($N347&lt;&gt;"",$O347="⚠ Çakışma",$P347="⚠ Çakışma",$Q347="⚠ Çakışma"),"⚠ Kontrol Et","✓ Uygun"))</f>
        <v/>
      </c>
    </row>
    <row r="348" customFormat="false" ht="13.5" hidden="false" customHeight="true" outlineLevel="0" collapsed="false">
      <c r="A348" s="32" t="str">
        <f aca="false">IF('2-Gastronomi'!A145="","","Gastronomi ve Mutfak Sanatları")</f>
        <v/>
      </c>
      <c r="B348" s="32" t="str">
        <f aca="false">IF($A348="","",IF('2-Gastronomi'!A145="","",'2-Gastronomi'!A145))</f>
        <v/>
      </c>
      <c r="C348" s="33" t="str">
        <f aca="false">IF($A348="","",IF('2-Gastronomi'!B145="","",'2-Gastronomi'!B145))</f>
        <v/>
      </c>
      <c r="D348" s="32" t="str">
        <f aca="false">IF($A348="","",IF('2-Gastronomi'!C145="","",'2-Gastronomi'!C145))</f>
        <v/>
      </c>
      <c r="E348" s="32" t="str">
        <f aca="false">IF($A348="","",$A348&amp;"-"&amp;$D348)</f>
        <v/>
      </c>
      <c r="F348" s="32" t="str">
        <f aca="false">IF($A348="","",IF('2-Gastronomi'!D145="","",'2-Gastronomi'!D145))</f>
        <v/>
      </c>
      <c r="G348" s="32" t="str">
        <f aca="false">IF($A348="","",IF('2-Gastronomi'!E145="","",'2-Gastronomi'!E145))</f>
        <v/>
      </c>
      <c r="H348" s="32" t="str">
        <f aca="false">IF($A348="","",IF('2-Gastronomi'!F145="","",'2-Gastronomi'!F145))</f>
        <v/>
      </c>
      <c r="I348" s="32" t="str">
        <f aca="false">IF($A348="","",IF('2-Gastronomi'!G145="","",'2-Gastronomi'!G145))</f>
        <v/>
      </c>
      <c r="J348" s="32" t="str">
        <f aca="false">IF($A348="","",IF('2-Gastronomi'!H145="","",'2-Gastronomi'!H145))</f>
        <v/>
      </c>
      <c r="K348" s="32" t="str">
        <f aca="false">IF($A348="","",IF('2-Gastronomi'!I145="","",'2-Gastronomi'!I145))</f>
        <v/>
      </c>
      <c r="L348" s="32" t="str">
        <f aca="false">IF($I348="","",MATCH($I348,{"08.00";"09.00";"10.00";"11.00";"12.00";"13.00";"14.00";"15.00";"16.00";"17.00"},0))</f>
        <v/>
      </c>
      <c r="M348" s="32" t="str">
        <f aca="false">IF(OR($L348="",$J348=""),"",$L348+$J348-1)</f>
        <v/>
      </c>
      <c r="N348" s="32" t="str">
        <f aca="false">IF($A348="","",IF(OR($L348="",$M348=""),"",IF($M348&gt;10,"⚠ Saat Taşıyor","")))</f>
        <v/>
      </c>
      <c r="O348" s="32" t="str">
        <f aca="false">IF($A348="","",IF(OR($G348="",$H348="",$L348=""),"",IF(SUMPRODUCT(($A$7:$A$606&lt;&gt;"")*($G$7:$G$606=$G348)*($H$7:$H$606=$H348)*(ROW($A$7:$A$606)&lt;&gt;348)*($L$7:$L$606&lt;=$M348)*($M$7:$M$606&gt;=$L348))&gt;0,"⚠ Çakışma","OK")))</f>
        <v/>
      </c>
      <c r="P348" s="32" t="str">
        <f aca="false">IF($A348="","",IF(OR($K348="",$H348="",$L348=""),"",IF(SUMPRODUCT(($A$7:$A$606&lt;&gt;"")*($K$7:$K$606=$K348)*($H$7:$H$606=$H348)*(ROW($A$7:$A$606)&lt;&gt;348)*($L$7:$L$606&lt;=$M348)*($M$7:$M$606&gt;=$L348))&gt;0,"⚠ Çakışma","OK")))</f>
        <v/>
      </c>
      <c r="Q348" s="32" t="str">
        <f aca="false">IF($A348="","",IF(OR($E348="",$H348="",$L348=""),"",IF(SUMPRODUCT(($A$7:$A$606&lt;&gt;"")*($E$7:$E$606=$E348)*($H$7:$H$606=$H348)*(ROW($A$7:$A$606)&lt;&gt;348)*($L$7:$L$606&lt;=$M348)*($M$7:$M$606&gt;=$L348))&gt;0,"⚠ Çakışma","OK")))</f>
        <v/>
      </c>
      <c r="R348" s="32" t="str">
        <f aca="false">IF($A348="","",IF(OR($N348&lt;&gt;"",$O348="⚠ Çakışma",$P348="⚠ Çakışma",$Q348="⚠ Çakışma"),"⚠ Kontrol Et","✓ Uygun"))</f>
        <v/>
      </c>
    </row>
    <row r="349" customFormat="false" ht="13.5" hidden="false" customHeight="true" outlineLevel="0" collapsed="false">
      <c r="A349" s="32" t="str">
        <f aca="false">IF('2-Gastronomi'!A146="","","Gastronomi ve Mutfak Sanatları")</f>
        <v/>
      </c>
      <c r="B349" s="32" t="str">
        <f aca="false">IF($A349="","",IF('2-Gastronomi'!A146="","",'2-Gastronomi'!A146))</f>
        <v/>
      </c>
      <c r="C349" s="33" t="str">
        <f aca="false">IF($A349="","",IF('2-Gastronomi'!B146="","",'2-Gastronomi'!B146))</f>
        <v/>
      </c>
      <c r="D349" s="32" t="str">
        <f aca="false">IF($A349="","",IF('2-Gastronomi'!C146="","",'2-Gastronomi'!C146))</f>
        <v/>
      </c>
      <c r="E349" s="32" t="str">
        <f aca="false">IF($A349="","",$A349&amp;"-"&amp;$D349)</f>
        <v/>
      </c>
      <c r="F349" s="32" t="str">
        <f aca="false">IF($A349="","",IF('2-Gastronomi'!D146="","",'2-Gastronomi'!D146))</f>
        <v/>
      </c>
      <c r="G349" s="32" t="str">
        <f aca="false">IF($A349="","",IF('2-Gastronomi'!E146="","",'2-Gastronomi'!E146))</f>
        <v/>
      </c>
      <c r="H349" s="32" t="str">
        <f aca="false">IF($A349="","",IF('2-Gastronomi'!F146="","",'2-Gastronomi'!F146))</f>
        <v/>
      </c>
      <c r="I349" s="32" t="str">
        <f aca="false">IF($A349="","",IF('2-Gastronomi'!G146="","",'2-Gastronomi'!G146))</f>
        <v/>
      </c>
      <c r="J349" s="32" t="str">
        <f aca="false">IF($A349="","",IF('2-Gastronomi'!H146="","",'2-Gastronomi'!H146))</f>
        <v/>
      </c>
      <c r="K349" s="32" t="str">
        <f aca="false">IF($A349="","",IF('2-Gastronomi'!I146="","",'2-Gastronomi'!I146))</f>
        <v/>
      </c>
      <c r="L349" s="32" t="str">
        <f aca="false">IF($I349="","",MATCH($I349,{"08.00";"09.00";"10.00";"11.00";"12.00";"13.00";"14.00";"15.00";"16.00";"17.00"},0))</f>
        <v/>
      </c>
      <c r="M349" s="32" t="str">
        <f aca="false">IF(OR($L349="",$J349=""),"",$L349+$J349-1)</f>
        <v/>
      </c>
      <c r="N349" s="32" t="str">
        <f aca="false">IF($A349="","",IF(OR($L349="",$M349=""),"",IF($M349&gt;10,"⚠ Saat Taşıyor","")))</f>
        <v/>
      </c>
      <c r="O349" s="32" t="str">
        <f aca="false">IF($A349="","",IF(OR($G349="",$H349="",$L349=""),"",IF(SUMPRODUCT(($A$7:$A$606&lt;&gt;"")*($G$7:$G$606=$G349)*($H$7:$H$606=$H349)*(ROW($A$7:$A$606)&lt;&gt;349)*($L$7:$L$606&lt;=$M349)*($M$7:$M$606&gt;=$L349))&gt;0,"⚠ Çakışma","OK")))</f>
        <v/>
      </c>
      <c r="P349" s="32" t="str">
        <f aca="false">IF($A349="","",IF(OR($K349="",$H349="",$L349=""),"",IF(SUMPRODUCT(($A$7:$A$606&lt;&gt;"")*($K$7:$K$606=$K349)*($H$7:$H$606=$H349)*(ROW($A$7:$A$606)&lt;&gt;349)*($L$7:$L$606&lt;=$M349)*($M$7:$M$606&gt;=$L349))&gt;0,"⚠ Çakışma","OK")))</f>
        <v/>
      </c>
      <c r="Q349" s="32" t="str">
        <f aca="false">IF($A349="","",IF(OR($E349="",$H349="",$L349=""),"",IF(SUMPRODUCT(($A$7:$A$606&lt;&gt;"")*($E$7:$E$606=$E349)*($H$7:$H$606=$H349)*(ROW($A$7:$A$606)&lt;&gt;349)*($L$7:$L$606&lt;=$M349)*($M$7:$M$606&gt;=$L349))&gt;0,"⚠ Çakışma","OK")))</f>
        <v/>
      </c>
      <c r="R349" s="32" t="str">
        <f aca="false">IF($A349="","",IF(OR($N349&lt;&gt;"",$O349="⚠ Çakışma",$P349="⚠ Çakışma",$Q349="⚠ Çakışma"),"⚠ Kontrol Et","✓ Uygun"))</f>
        <v/>
      </c>
    </row>
    <row r="350" customFormat="false" ht="13.5" hidden="false" customHeight="true" outlineLevel="0" collapsed="false">
      <c r="A350" s="32" t="str">
        <f aca="false">IF('2-Gastronomi'!A147="","","Gastronomi ve Mutfak Sanatları")</f>
        <v/>
      </c>
      <c r="B350" s="32" t="str">
        <f aca="false">IF($A350="","",IF('2-Gastronomi'!A147="","",'2-Gastronomi'!A147))</f>
        <v/>
      </c>
      <c r="C350" s="33" t="str">
        <f aca="false">IF($A350="","",IF('2-Gastronomi'!B147="","",'2-Gastronomi'!B147))</f>
        <v/>
      </c>
      <c r="D350" s="32" t="str">
        <f aca="false">IF($A350="","",IF('2-Gastronomi'!C147="","",'2-Gastronomi'!C147))</f>
        <v/>
      </c>
      <c r="E350" s="32" t="str">
        <f aca="false">IF($A350="","",$A350&amp;"-"&amp;$D350)</f>
        <v/>
      </c>
      <c r="F350" s="32" t="str">
        <f aca="false">IF($A350="","",IF('2-Gastronomi'!D147="","",'2-Gastronomi'!D147))</f>
        <v/>
      </c>
      <c r="G350" s="32" t="str">
        <f aca="false">IF($A350="","",IF('2-Gastronomi'!E147="","",'2-Gastronomi'!E147))</f>
        <v/>
      </c>
      <c r="H350" s="32" t="str">
        <f aca="false">IF($A350="","",IF('2-Gastronomi'!F147="","",'2-Gastronomi'!F147))</f>
        <v/>
      </c>
      <c r="I350" s="32" t="str">
        <f aca="false">IF($A350="","",IF('2-Gastronomi'!G147="","",'2-Gastronomi'!G147))</f>
        <v/>
      </c>
      <c r="J350" s="32" t="str">
        <f aca="false">IF($A350="","",IF('2-Gastronomi'!H147="","",'2-Gastronomi'!H147))</f>
        <v/>
      </c>
      <c r="K350" s="32" t="str">
        <f aca="false">IF($A350="","",IF('2-Gastronomi'!I147="","",'2-Gastronomi'!I147))</f>
        <v/>
      </c>
      <c r="L350" s="32" t="str">
        <f aca="false">IF($I350="","",MATCH($I350,{"08.00";"09.00";"10.00";"11.00";"12.00";"13.00";"14.00";"15.00";"16.00";"17.00"},0))</f>
        <v/>
      </c>
      <c r="M350" s="32" t="str">
        <f aca="false">IF(OR($L350="",$J350=""),"",$L350+$J350-1)</f>
        <v/>
      </c>
      <c r="N350" s="32" t="str">
        <f aca="false">IF($A350="","",IF(OR($L350="",$M350=""),"",IF($M350&gt;10,"⚠ Saat Taşıyor","")))</f>
        <v/>
      </c>
      <c r="O350" s="32" t="str">
        <f aca="false">IF($A350="","",IF(OR($G350="",$H350="",$L350=""),"",IF(SUMPRODUCT(($A$7:$A$606&lt;&gt;"")*($G$7:$G$606=$G350)*($H$7:$H$606=$H350)*(ROW($A$7:$A$606)&lt;&gt;350)*($L$7:$L$606&lt;=$M350)*($M$7:$M$606&gt;=$L350))&gt;0,"⚠ Çakışma","OK")))</f>
        <v/>
      </c>
      <c r="P350" s="32" t="str">
        <f aca="false">IF($A350="","",IF(OR($K350="",$H350="",$L350=""),"",IF(SUMPRODUCT(($A$7:$A$606&lt;&gt;"")*($K$7:$K$606=$K350)*($H$7:$H$606=$H350)*(ROW($A$7:$A$606)&lt;&gt;350)*($L$7:$L$606&lt;=$M350)*($M$7:$M$606&gt;=$L350))&gt;0,"⚠ Çakışma","OK")))</f>
        <v/>
      </c>
      <c r="Q350" s="32" t="str">
        <f aca="false">IF($A350="","",IF(OR($E350="",$H350="",$L350=""),"",IF(SUMPRODUCT(($A$7:$A$606&lt;&gt;"")*($E$7:$E$606=$E350)*($H$7:$H$606=$H350)*(ROW($A$7:$A$606)&lt;&gt;350)*($L$7:$L$606&lt;=$M350)*($M$7:$M$606&gt;=$L350))&gt;0,"⚠ Çakışma","OK")))</f>
        <v/>
      </c>
      <c r="R350" s="32" t="str">
        <f aca="false">IF($A350="","",IF(OR($N350&lt;&gt;"",$O350="⚠ Çakışma",$P350="⚠ Çakışma",$Q350="⚠ Çakışma"),"⚠ Kontrol Et","✓ Uygun"))</f>
        <v/>
      </c>
    </row>
    <row r="351" customFormat="false" ht="13.5" hidden="false" customHeight="true" outlineLevel="0" collapsed="false">
      <c r="A351" s="32" t="str">
        <f aca="false">IF('2-Gastronomi'!A148="","","Gastronomi ve Mutfak Sanatları")</f>
        <v/>
      </c>
      <c r="B351" s="32" t="str">
        <f aca="false">IF($A351="","",IF('2-Gastronomi'!A148="","",'2-Gastronomi'!A148))</f>
        <v/>
      </c>
      <c r="C351" s="33" t="str">
        <f aca="false">IF($A351="","",IF('2-Gastronomi'!B148="","",'2-Gastronomi'!B148))</f>
        <v/>
      </c>
      <c r="D351" s="32" t="str">
        <f aca="false">IF($A351="","",IF('2-Gastronomi'!C148="","",'2-Gastronomi'!C148))</f>
        <v/>
      </c>
      <c r="E351" s="32" t="str">
        <f aca="false">IF($A351="","",$A351&amp;"-"&amp;$D351)</f>
        <v/>
      </c>
      <c r="F351" s="32" t="str">
        <f aca="false">IF($A351="","",IF('2-Gastronomi'!D148="","",'2-Gastronomi'!D148))</f>
        <v/>
      </c>
      <c r="G351" s="32" t="str">
        <f aca="false">IF($A351="","",IF('2-Gastronomi'!E148="","",'2-Gastronomi'!E148))</f>
        <v/>
      </c>
      <c r="H351" s="32" t="str">
        <f aca="false">IF($A351="","",IF('2-Gastronomi'!F148="","",'2-Gastronomi'!F148))</f>
        <v/>
      </c>
      <c r="I351" s="32" t="str">
        <f aca="false">IF($A351="","",IF('2-Gastronomi'!G148="","",'2-Gastronomi'!G148))</f>
        <v/>
      </c>
      <c r="J351" s="32" t="str">
        <f aca="false">IF($A351="","",IF('2-Gastronomi'!H148="","",'2-Gastronomi'!H148))</f>
        <v/>
      </c>
      <c r="K351" s="32" t="str">
        <f aca="false">IF($A351="","",IF('2-Gastronomi'!I148="","",'2-Gastronomi'!I148))</f>
        <v/>
      </c>
      <c r="L351" s="32" t="str">
        <f aca="false">IF($I351="","",MATCH($I351,{"08.00";"09.00";"10.00";"11.00";"12.00";"13.00";"14.00";"15.00";"16.00";"17.00"},0))</f>
        <v/>
      </c>
      <c r="M351" s="32" t="str">
        <f aca="false">IF(OR($L351="",$J351=""),"",$L351+$J351-1)</f>
        <v/>
      </c>
      <c r="N351" s="32" t="str">
        <f aca="false">IF($A351="","",IF(OR($L351="",$M351=""),"",IF($M351&gt;10,"⚠ Saat Taşıyor","")))</f>
        <v/>
      </c>
      <c r="O351" s="32" t="str">
        <f aca="false">IF($A351="","",IF(OR($G351="",$H351="",$L351=""),"",IF(SUMPRODUCT(($A$7:$A$606&lt;&gt;"")*($G$7:$G$606=$G351)*($H$7:$H$606=$H351)*(ROW($A$7:$A$606)&lt;&gt;351)*($L$7:$L$606&lt;=$M351)*($M$7:$M$606&gt;=$L351))&gt;0,"⚠ Çakışma","OK")))</f>
        <v/>
      </c>
      <c r="P351" s="32" t="str">
        <f aca="false">IF($A351="","",IF(OR($K351="",$H351="",$L351=""),"",IF(SUMPRODUCT(($A$7:$A$606&lt;&gt;"")*($K$7:$K$606=$K351)*($H$7:$H$606=$H351)*(ROW($A$7:$A$606)&lt;&gt;351)*($L$7:$L$606&lt;=$M351)*($M$7:$M$606&gt;=$L351))&gt;0,"⚠ Çakışma","OK")))</f>
        <v/>
      </c>
      <c r="Q351" s="32" t="str">
        <f aca="false">IF($A351="","",IF(OR($E351="",$H351="",$L351=""),"",IF(SUMPRODUCT(($A$7:$A$606&lt;&gt;"")*($E$7:$E$606=$E351)*($H$7:$H$606=$H351)*(ROW($A$7:$A$606)&lt;&gt;351)*($L$7:$L$606&lt;=$M351)*($M$7:$M$606&gt;=$L351))&gt;0,"⚠ Çakışma","OK")))</f>
        <v/>
      </c>
      <c r="R351" s="32" t="str">
        <f aca="false">IF($A351="","",IF(OR($N351&lt;&gt;"",$O351="⚠ Çakışma",$P351="⚠ Çakışma",$Q351="⚠ Çakışma"),"⚠ Kontrol Et","✓ Uygun"))</f>
        <v/>
      </c>
    </row>
    <row r="352" customFormat="false" ht="13.5" hidden="false" customHeight="true" outlineLevel="0" collapsed="false">
      <c r="A352" s="32" t="str">
        <f aca="false">IF('2-Gastronomi'!A149="","","Gastronomi ve Mutfak Sanatları")</f>
        <v/>
      </c>
      <c r="B352" s="32" t="str">
        <f aca="false">IF($A352="","",IF('2-Gastronomi'!A149="","",'2-Gastronomi'!A149))</f>
        <v/>
      </c>
      <c r="C352" s="33" t="str">
        <f aca="false">IF($A352="","",IF('2-Gastronomi'!B149="","",'2-Gastronomi'!B149))</f>
        <v/>
      </c>
      <c r="D352" s="32" t="str">
        <f aca="false">IF($A352="","",IF('2-Gastronomi'!C149="","",'2-Gastronomi'!C149))</f>
        <v/>
      </c>
      <c r="E352" s="32" t="str">
        <f aca="false">IF($A352="","",$A352&amp;"-"&amp;$D352)</f>
        <v/>
      </c>
      <c r="F352" s="32" t="str">
        <f aca="false">IF($A352="","",IF('2-Gastronomi'!D149="","",'2-Gastronomi'!D149))</f>
        <v/>
      </c>
      <c r="G352" s="32" t="str">
        <f aca="false">IF($A352="","",IF('2-Gastronomi'!E149="","",'2-Gastronomi'!E149))</f>
        <v/>
      </c>
      <c r="H352" s="32" t="str">
        <f aca="false">IF($A352="","",IF('2-Gastronomi'!F149="","",'2-Gastronomi'!F149))</f>
        <v/>
      </c>
      <c r="I352" s="32" t="str">
        <f aca="false">IF($A352="","",IF('2-Gastronomi'!G149="","",'2-Gastronomi'!G149))</f>
        <v/>
      </c>
      <c r="J352" s="32" t="str">
        <f aca="false">IF($A352="","",IF('2-Gastronomi'!H149="","",'2-Gastronomi'!H149))</f>
        <v/>
      </c>
      <c r="K352" s="32" t="str">
        <f aca="false">IF($A352="","",IF('2-Gastronomi'!I149="","",'2-Gastronomi'!I149))</f>
        <v/>
      </c>
      <c r="L352" s="32" t="str">
        <f aca="false">IF($I352="","",MATCH($I352,{"08.00";"09.00";"10.00";"11.00";"12.00";"13.00";"14.00";"15.00";"16.00";"17.00"},0))</f>
        <v/>
      </c>
      <c r="M352" s="32" t="str">
        <f aca="false">IF(OR($L352="",$J352=""),"",$L352+$J352-1)</f>
        <v/>
      </c>
      <c r="N352" s="32" t="str">
        <f aca="false">IF($A352="","",IF(OR($L352="",$M352=""),"",IF($M352&gt;10,"⚠ Saat Taşıyor","")))</f>
        <v/>
      </c>
      <c r="O352" s="32" t="str">
        <f aca="false">IF($A352="","",IF(OR($G352="",$H352="",$L352=""),"",IF(SUMPRODUCT(($A$7:$A$606&lt;&gt;"")*($G$7:$G$606=$G352)*($H$7:$H$606=$H352)*(ROW($A$7:$A$606)&lt;&gt;352)*($L$7:$L$606&lt;=$M352)*($M$7:$M$606&gt;=$L352))&gt;0,"⚠ Çakışma","OK")))</f>
        <v/>
      </c>
      <c r="P352" s="32" t="str">
        <f aca="false">IF($A352="","",IF(OR($K352="",$H352="",$L352=""),"",IF(SUMPRODUCT(($A$7:$A$606&lt;&gt;"")*($K$7:$K$606=$K352)*($H$7:$H$606=$H352)*(ROW($A$7:$A$606)&lt;&gt;352)*($L$7:$L$606&lt;=$M352)*($M$7:$M$606&gt;=$L352))&gt;0,"⚠ Çakışma","OK")))</f>
        <v/>
      </c>
      <c r="Q352" s="32" t="str">
        <f aca="false">IF($A352="","",IF(OR($E352="",$H352="",$L352=""),"",IF(SUMPRODUCT(($A$7:$A$606&lt;&gt;"")*($E$7:$E$606=$E352)*($H$7:$H$606=$H352)*(ROW($A$7:$A$606)&lt;&gt;352)*($L$7:$L$606&lt;=$M352)*($M$7:$M$606&gt;=$L352))&gt;0,"⚠ Çakışma","OK")))</f>
        <v/>
      </c>
      <c r="R352" s="32" t="str">
        <f aca="false">IF($A352="","",IF(OR($N352&lt;&gt;"",$O352="⚠ Çakışma",$P352="⚠ Çakışma",$Q352="⚠ Çakışma"),"⚠ Kontrol Et","✓ Uygun"))</f>
        <v/>
      </c>
    </row>
    <row r="353" customFormat="false" ht="13.5" hidden="false" customHeight="true" outlineLevel="0" collapsed="false">
      <c r="A353" s="32" t="str">
        <f aca="false">IF('2-Gastronomi'!A150="","","Gastronomi ve Mutfak Sanatları")</f>
        <v/>
      </c>
      <c r="B353" s="32" t="str">
        <f aca="false">IF($A353="","",IF('2-Gastronomi'!A150="","",'2-Gastronomi'!A150))</f>
        <v/>
      </c>
      <c r="C353" s="33" t="str">
        <f aca="false">IF($A353="","",IF('2-Gastronomi'!B150="","",'2-Gastronomi'!B150))</f>
        <v/>
      </c>
      <c r="D353" s="32" t="str">
        <f aca="false">IF($A353="","",IF('2-Gastronomi'!C150="","",'2-Gastronomi'!C150))</f>
        <v/>
      </c>
      <c r="E353" s="32" t="str">
        <f aca="false">IF($A353="","",$A353&amp;"-"&amp;$D353)</f>
        <v/>
      </c>
      <c r="F353" s="32" t="str">
        <f aca="false">IF($A353="","",IF('2-Gastronomi'!D150="","",'2-Gastronomi'!D150))</f>
        <v/>
      </c>
      <c r="G353" s="32" t="str">
        <f aca="false">IF($A353="","",IF('2-Gastronomi'!E150="","",'2-Gastronomi'!E150))</f>
        <v/>
      </c>
      <c r="H353" s="32" t="str">
        <f aca="false">IF($A353="","",IF('2-Gastronomi'!F150="","",'2-Gastronomi'!F150))</f>
        <v/>
      </c>
      <c r="I353" s="32" t="str">
        <f aca="false">IF($A353="","",IF('2-Gastronomi'!G150="","",'2-Gastronomi'!G150))</f>
        <v/>
      </c>
      <c r="J353" s="32" t="str">
        <f aca="false">IF($A353="","",IF('2-Gastronomi'!H150="","",'2-Gastronomi'!H150))</f>
        <v/>
      </c>
      <c r="K353" s="32" t="str">
        <f aca="false">IF($A353="","",IF('2-Gastronomi'!I150="","",'2-Gastronomi'!I150))</f>
        <v/>
      </c>
      <c r="L353" s="32" t="str">
        <f aca="false">IF($I353="","",MATCH($I353,{"08.00";"09.00";"10.00";"11.00";"12.00";"13.00";"14.00";"15.00";"16.00";"17.00"},0))</f>
        <v/>
      </c>
      <c r="M353" s="32" t="str">
        <f aca="false">IF(OR($L353="",$J353=""),"",$L353+$J353-1)</f>
        <v/>
      </c>
      <c r="N353" s="32" t="str">
        <f aca="false">IF($A353="","",IF(OR($L353="",$M353=""),"",IF($M353&gt;10,"⚠ Saat Taşıyor","")))</f>
        <v/>
      </c>
      <c r="O353" s="32" t="str">
        <f aca="false">IF($A353="","",IF(OR($G353="",$H353="",$L353=""),"",IF(SUMPRODUCT(($A$7:$A$606&lt;&gt;"")*($G$7:$G$606=$G353)*($H$7:$H$606=$H353)*(ROW($A$7:$A$606)&lt;&gt;353)*($L$7:$L$606&lt;=$M353)*($M$7:$M$606&gt;=$L353))&gt;0,"⚠ Çakışma","OK")))</f>
        <v/>
      </c>
      <c r="P353" s="32" t="str">
        <f aca="false">IF($A353="","",IF(OR($K353="",$H353="",$L353=""),"",IF(SUMPRODUCT(($A$7:$A$606&lt;&gt;"")*($K$7:$K$606=$K353)*($H$7:$H$606=$H353)*(ROW($A$7:$A$606)&lt;&gt;353)*($L$7:$L$606&lt;=$M353)*($M$7:$M$606&gt;=$L353))&gt;0,"⚠ Çakışma","OK")))</f>
        <v/>
      </c>
      <c r="Q353" s="32" t="str">
        <f aca="false">IF($A353="","",IF(OR($E353="",$H353="",$L353=""),"",IF(SUMPRODUCT(($A$7:$A$606&lt;&gt;"")*($E$7:$E$606=$E353)*($H$7:$H$606=$H353)*(ROW($A$7:$A$606)&lt;&gt;353)*($L$7:$L$606&lt;=$M353)*($M$7:$M$606&gt;=$L353))&gt;0,"⚠ Çakışma","OK")))</f>
        <v/>
      </c>
      <c r="R353" s="32" t="str">
        <f aca="false">IF($A353="","",IF(OR($N353&lt;&gt;"",$O353="⚠ Çakışma",$P353="⚠ Çakışma",$Q353="⚠ Çakışma"),"⚠ Kontrol Et","✓ Uygun"))</f>
        <v/>
      </c>
    </row>
    <row r="354" customFormat="false" ht="13.5" hidden="false" customHeight="true" outlineLevel="0" collapsed="false">
      <c r="A354" s="32" t="str">
        <f aca="false">IF('2-Gastronomi'!A151="","","Gastronomi ve Mutfak Sanatları")</f>
        <v/>
      </c>
      <c r="B354" s="32" t="str">
        <f aca="false">IF($A354="","",IF('2-Gastronomi'!A151="","",'2-Gastronomi'!A151))</f>
        <v/>
      </c>
      <c r="C354" s="33" t="str">
        <f aca="false">IF($A354="","",IF('2-Gastronomi'!B151="","",'2-Gastronomi'!B151))</f>
        <v/>
      </c>
      <c r="D354" s="32" t="str">
        <f aca="false">IF($A354="","",IF('2-Gastronomi'!C151="","",'2-Gastronomi'!C151))</f>
        <v/>
      </c>
      <c r="E354" s="32" t="str">
        <f aca="false">IF($A354="","",$A354&amp;"-"&amp;$D354)</f>
        <v/>
      </c>
      <c r="F354" s="32" t="str">
        <f aca="false">IF($A354="","",IF('2-Gastronomi'!D151="","",'2-Gastronomi'!D151))</f>
        <v/>
      </c>
      <c r="G354" s="32" t="str">
        <f aca="false">IF($A354="","",IF('2-Gastronomi'!E151="","",'2-Gastronomi'!E151))</f>
        <v/>
      </c>
      <c r="H354" s="32" t="str">
        <f aca="false">IF($A354="","",IF('2-Gastronomi'!F151="","",'2-Gastronomi'!F151))</f>
        <v/>
      </c>
      <c r="I354" s="32" t="str">
        <f aca="false">IF($A354="","",IF('2-Gastronomi'!G151="","",'2-Gastronomi'!G151))</f>
        <v/>
      </c>
      <c r="J354" s="32" t="str">
        <f aca="false">IF($A354="","",IF('2-Gastronomi'!H151="","",'2-Gastronomi'!H151))</f>
        <v/>
      </c>
      <c r="K354" s="32" t="str">
        <f aca="false">IF($A354="","",IF('2-Gastronomi'!I151="","",'2-Gastronomi'!I151))</f>
        <v/>
      </c>
      <c r="L354" s="32" t="str">
        <f aca="false">IF($I354="","",MATCH($I354,{"08.00";"09.00";"10.00";"11.00";"12.00";"13.00";"14.00";"15.00";"16.00";"17.00"},0))</f>
        <v/>
      </c>
      <c r="M354" s="32" t="str">
        <f aca="false">IF(OR($L354="",$J354=""),"",$L354+$J354-1)</f>
        <v/>
      </c>
      <c r="N354" s="32" t="str">
        <f aca="false">IF($A354="","",IF(OR($L354="",$M354=""),"",IF($M354&gt;10,"⚠ Saat Taşıyor","")))</f>
        <v/>
      </c>
      <c r="O354" s="32" t="str">
        <f aca="false">IF($A354="","",IF(OR($G354="",$H354="",$L354=""),"",IF(SUMPRODUCT(($A$7:$A$606&lt;&gt;"")*($G$7:$G$606=$G354)*($H$7:$H$606=$H354)*(ROW($A$7:$A$606)&lt;&gt;354)*($L$7:$L$606&lt;=$M354)*($M$7:$M$606&gt;=$L354))&gt;0,"⚠ Çakışma","OK")))</f>
        <v/>
      </c>
      <c r="P354" s="32" t="str">
        <f aca="false">IF($A354="","",IF(OR($K354="",$H354="",$L354=""),"",IF(SUMPRODUCT(($A$7:$A$606&lt;&gt;"")*($K$7:$K$606=$K354)*($H$7:$H$606=$H354)*(ROW($A$7:$A$606)&lt;&gt;354)*($L$7:$L$606&lt;=$M354)*($M$7:$M$606&gt;=$L354))&gt;0,"⚠ Çakışma","OK")))</f>
        <v/>
      </c>
      <c r="Q354" s="32" t="str">
        <f aca="false">IF($A354="","",IF(OR($E354="",$H354="",$L354=""),"",IF(SUMPRODUCT(($A$7:$A$606&lt;&gt;"")*($E$7:$E$606=$E354)*($H$7:$H$606=$H354)*(ROW($A$7:$A$606)&lt;&gt;354)*($L$7:$L$606&lt;=$M354)*($M$7:$M$606&gt;=$L354))&gt;0,"⚠ Çakışma","OK")))</f>
        <v/>
      </c>
      <c r="R354" s="32" t="str">
        <f aca="false">IF($A354="","",IF(OR($N354&lt;&gt;"",$O354="⚠ Çakışma",$P354="⚠ Çakışma",$Q354="⚠ Çakışma"),"⚠ Kontrol Et","✓ Uygun"))</f>
        <v/>
      </c>
    </row>
    <row r="355" customFormat="false" ht="13.5" hidden="false" customHeight="true" outlineLevel="0" collapsed="false">
      <c r="A355" s="32" t="str">
        <f aca="false">IF('2-Gastronomi'!A152="","","Gastronomi ve Mutfak Sanatları")</f>
        <v/>
      </c>
      <c r="B355" s="32" t="str">
        <f aca="false">IF($A355="","",IF('2-Gastronomi'!A152="","",'2-Gastronomi'!A152))</f>
        <v/>
      </c>
      <c r="C355" s="33" t="str">
        <f aca="false">IF($A355="","",IF('2-Gastronomi'!B152="","",'2-Gastronomi'!B152))</f>
        <v/>
      </c>
      <c r="D355" s="32" t="str">
        <f aca="false">IF($A355="","",IF('2-Gastronomi'!C152="","",'2-Gastronomi'!C152))</f>
        <v/>
      </c>
      <c r="E355" s="32" t="str">
        <f aca="false">IF($A355="","",$A355&amp;"-"&amp;$D355)</f>
        <v/>
      </c>
      <c r="F355" s="32" t="str">
        <f aca="false">IF($A355="","",IF('2-Gastronomi'!D152="","",'2-Gastronomi'!D152))</f>
        <v/>
      </c>
      <c r="G355" s="32" t="str">
        <f aca="false">IF($A355="","",IF('2-Gastronomi'!E152="","",'2-Gastronomi'!E152))</f>
        <v/>
      </c>
      <c r="H355" s="32" t="str">
        <f aca="false">IF($A355="","",IF('2-Gastronomi'!F152="","",'2-Gastronomi'!F152))</f>
        <v/>
      </c>
      <c r="I355" s="32" t="str">
        <f aca="false">IF($A355="","",IF('2-Gastronomi'!G152="","",'2-Gastronomi'!G152))</f>
        <v/>
      </c>
      <c r="J355" s="32" t="str">
        <f aca="false">IF($A355="","",IF('2-Gastronomi'!H152="","",'2-Gastronomi'!H152))</f>
        <v/>
      </c>
      <c r="K355" s="32" t="str">
        <f aca="false">IF($A355="","",IF('2-Gastronomi'!I152="","",'2-Gastronomi'!I152))</f>
        <v/>
      </c>
      <c r="L355" s="32" t="str">
        <f aca="false">IF($I355="","",MATCH($I355,{"08.00";"09.00";"10.00";"11.00";"12.00";"13.00";"14.00";"15.00";"16.00";"17.00"},0))</f>
        <v/>
      </c>
      <c r="M355" s="32" t="str">
        <f aca="false">IF(OR($L355="",$J355=""),"",$L355+$J355-1)</f>
        <v/>
      </c>
      <c r="N355" s="32" t="str">
        <f aca="false">IF($A355="","",IF(OR($L355="",$M355=""),"",IF($M355&gt;10,"⚠ Saat Taşıyor","")))</f>
        <v/>
      </c>
      <c r="O355" s="32" t="str">
        <f aca="false">IF($A355="","",IF(OR($G355="",$H355="",$L355=""),"",IF(SUMPRODUCT(($A$7:$A$606&lt;&gt;"")*($G$7:$G$606=$G355)*($H$7:$H$606=$H355)*(ROW($A$7:$A$606)&lt;&gt;355)*($L$7:$L$606&lt;=$M355)*($M$7:$M$606&gt;=$L355))&gt;0,"⚠ Çakışma","OK")))</f>
        <v/>
      </c>
      <c r="P355" s="32" t="str">
        <f aca="false">IF($A355="","",IF(OR($K355="",$H355="",$L355=""),"",IF(SUMPRODUCT(($A$7:$A$606&lt;&gt;"")*($K$7:$K$606=$K355)*($H$7:$H$606=$H355)*(ROW($A$7:$A$606)&lt;&gt;355)*($L$7:$L$606&lt;=$M355)*($M$7:$M$606&gt;=$L355))&gt;0,"⚠ Çakışma","OK")))</f>
        <v/>
      </c>
      <c r="Q355" s="32" t="str">
        <f aca="false">IF($A355="","",IF(OR($E355="",$H355="",$L355=""),"",IF(SUMPRODUCT(($A$7:$A$606&lt;&gt;"")*($E$7:$E$606=$E355)*($H$7:$H$606=$H355)*(ROW($A$7:$A$606)&lt;&gt;355)*($L$7:$L$606&lt;=$M355)*($M$7:$M$606&gt;=$L355))&gt;0,"⚠ Çakışma","OK")))</f>
        <v/>
      </c>
      <c r="R355" s="32" t="str">
        <f aca="false">IF($A355="","",IF(OR($N355&lt;&gt;"",$O355="⚠ Çakışma",$P355="⚠ Çakışma",$Q355="⚠ Çakışma"),"⚠ Kontrol Et","✓ Uygun"))</f>
        <v/>
      </c>
    </row>
    <row r="356" customFormat="false" ht="13.5" hidden="false" customHeight="true" outlineLevel="0" collapsed="false">
      <c r="A356" s="32" t="str">
        <f aca="false">IF('2-Gastronomi'!A153="","","Gastronomi ve Mutfak Sanatları")</f>
        <v/>
      </c>
      <c r="B356" s="32" t="str">
        <f aca="false">IF($A356="","",IF('2-Gastronomi'!A153="","",'2-Gastronomi'!A153))</f>
        <v/>
      </c>
      <c r="C356" s="33" t="str">
        <f aca="false">IF($A356="","",IF('2-Gastronomi'!B153="","",'2-Gastronomi'!B153))</f>
        <v/>
      </c>
      <c r="D356" s="32" t="str">
        <f aca="false">IF($A356="","",IF('2-Gastronomi'!C153="","",'2-Gastronomi'!C153))</f>
        <v/>
      </c>
      <c r="E356" s="32" t="str">
        <f aca="false">IF($A356="","",$A356&amp;"-"&amp;$D356)</f>
        <v/>
      </c>
      <c r="F356" s="32" t="str">
        <f aca="false">IF($A356="","",IF('2-Gastronomi'!D153="","",'2-Gastronomi'!D153))</f>
        <v/>
      </c>
      <c r="G356" s="32" t="str">
        <f aca="false">IF($A356="","",IF('2-Gastronomi'!E153="","",'2-Gastronomi'!E153))</f>
        <v/>
      </c>
      <c r="H356" s="32" t="str">
        <f aca="false">IF($A356="","",IF('2-Gastronomi'!F153="","",'2-Gastronomi'!F153))</f>
        <v/>
      </c>
      <c r="I356" s="32" t="str">
        <f aca="false">IF($A356="","",IF('2-Gastronomi'!G153="","",'2-Gastronomi'!G153))</f>
        <v/>
      </c>
      <c r="J356" s="32" t="str">
        <f aca="false">IF($A356="","",IF('2-Gastronomi'!H153="","",'2-Gastronomi'!H153))</f>
        <v/>
      </c>
      <c r="K356" s="32" t="str">
        <f aca="false">IF($A356="","",IF('2-Gastronomi'!I153="","",'2-Gastronomi'!I153))</f>
        <v/>
      </c>
      <c r="L356" s="32" t="str">
        <f aca="false">IF($I356="","",MATCH($I356,{"08.00";"09.00";"10.00";"11.00";"12.00";"13.00";"14.00";"15.00";"16.00";"17.00"},0))</f>
        <v/>
      </c>
      <c r="M356" s="32" t="str">
        <f aca="false">IF(OR($L356="",$J356=""),"",$L356+$J356-1)</f>
        <v/>
      </c>
      <c r="N356" s="32" t="str">
        <f aca="false">IF($A356="","",IF(OR($L356="",$M356=""),"",IF($M356&gt;10,"⚠ Saat Taşıyor","")))</f>
        <v/>
      </c>
      <c r="O356" s="32" t="str">
        <f aca="false">IF($A356="","",IF(OR($G356="",$H356="",$L356=""),"",IF(SUMPRODUCT(($A$7:$A$606&lt;&gt;"")*($G$7:$G$606=$G356)*($H$7:$H$606=$H356)*(ROW($A$7:$A$606)&lt;&gt;356)*($L$7:$L$606&lt;=$M356)*($M$7:$M$606&gt;=$L356))&gt;0,"⚠ Çakışma","OK")))</f>
        <v/>
      </c>
      <c r="P356" s="32" t="str">
        <f aca="false">IF($A356="","",IF(OR($K356="",$H356="",$L356=""),"",IF(SUMPRODUCT(($A$7:$A$606&lt;&gt;"")*($K$7:$K$606=$K356)*($H$7:$H$606=$H356)*(ROW($A$7:$A$606)&lt;&gt;356)*($L$7:$L$606&lt;=$M356)*($M$7:$M$606&gt;=$L356))&gt;0,"⚠ Çakışma","OK")))</f>
        <v/>
      </c>
      <c r="Q356" s="32" t="str">
        <f aca="false">IF($A356="","",IF(OR($E356="",$H356="",$L356=""),"",IF(SUMPRODUCT(($A$7:$A$606&lt;&gt;"")*($E$7:$E$606=$E356)*($H$7:$H$606=$H356)*(ROW($A$7:$A$606)&lt;&gt;356)*($L$7:$L$606&lt;=$M356)*($M$7:$M$606&gt;=$L356))&gt;0,"⚠ Çakışma","OK")))</f>
        <v/>
      </c>
      <c r="R356" s="32" t="str">
        <f aca="false">IF($A356="","",IF(OR($N356&lt;&gt;"",$O356="⚠ Çakışma",$P356="⚠ Çakışma",$Q356="⚠ Çakışma"),"⚠ Kontrol Et","✓ Uygun"))</f>
        <v/>
      </c>
    </row>
    <row r="357" customFormat="false" ht="13.5" hidden="false" customHeight="true" outlineLevel="0" collapsed="false">
      <c r="A357" s="32" t="str">
        <f aca="false">IF('2-Gastronomi'!A154="","","Gastronomi ve Mutfak Sanatları")</f>
        <v/>
      </c>
      <c r="B357" s="32" t="str">
        <f aca="false">IF($A357="","",IF('2-Gastronomi'!A154="","",'2-Gastronomi'!A154))</f>
        <v/>
      </c>
      <c r="C357" s="33" t="str">
        <f aca="false">IF($A357="","",IF('2-Gastronomi'!B154="","",'2-Gastronomi'!B154))</f>
        <v/>
      </c>
      <c r="D357" s="32" t="str">
        <f aca="false">IF($A357="","",IF('2-Gastronomi'!C154="","",'2-Gastronomi'!C154))</f>
        <v/>
      </c>
      <c r="E357" s="32" t="str">
        <f aca="false">IF($A357="","",$A357&amp;"-"&amp;$D357)</f>
        <v/>
      </c>
      <c r="F357" s="32" t="str">
        <f aca="false">IF($A357="","",IF('2-Gastronomi'!D154="","",'2-Gastronomi'!D154))</f>
        <v/>
      </c>
      <c r="G357" s="32" t="str">
        <f aca="false">IF($A357="","",IF('2-Gastronomi'!E154="","",'2-Gastronomi'!E154))</f>
        <v/>
      </c>
      <c r="H357" s="32" t="str">
        <f aca="false">IF($A357="","",IF('2-Gastronomi'!F154="","",'2-Gastronomi'!F154))</f>
        <v/>
      </c>
      <c r="I357" s="32" t="str">
        <f aca="false">IF($A357="","",IF('2-Gastronomi'!G154="","",'2-Gastronomi'!G154))</f>
        <v/>
      </c>
      <c r="J357" s="32" t="str">
        <f aca="false">IF($A357="","",IF('2-Gastronomi'!H154="","",'2-Gastronomi'!H154))</f>
        <v/>
      </c>
      <c r="K357" s="32" t="str">
        <f aca="false">IF($A357="","",IF('2-Gastronomi'!I154="","",'2-Gastronomi'!I154))</f>
        <v/>
      </c>
      <c r="L357" s="32" t="str">
        <f aca="false">IF($I357="","",MATCH($I357,{"08.00";"09.00";"10.00";"11.00";"12.00";"13.00";"14.00";"15.00";"16.00";"17.00"},0))</f>
        <v/>
      </c>
      <c r="M357" s="32" t="str">
        <f aca="false">IF(OR($L357="",$J357=""),"",$L357+$J357-1)</f>
        <v/>
      </c>
      <c r="N357" s="32" t="str">
        <f aca="false">IF($A357="","",IF(OR($L357="",$M357=""),"",IF($M357&gt;10,"⚠ Saat Taşıyor","")))</f>
        <v/>
      </c>
      <c r="O357" s="32" t="str">
        <f aca="false">IF($A357="","",IF(OR($G357="",$H357="",$L357=""),"",IF(SUMPRODUCT(($A$7:$A$606&lt;&gt;"")*($G$7:$G$606=$G357)*($H$7:$H$606=$H357)*(ROW($A$7:$A$606)&lt;&gt;357)*($L$7:$L$606&lt;=$M357)*($M$7:$M$606&gt;=$L357))&gt;0,"⚠ Çakışma","OK")))</f>
        <v/>
      </c>
      <c r="P357" s="32" t="str">
        <f aca="false">IF($A357="","",IF(OR($K357="",$H357="",$L357=""),"",IF(SUMPRODUCT(($A$7:$A$606&lt;&gt;"")*($K$7:$K$606=$K357)*($H$7:$H$606=$H357)*(ROW($A$7:$A$606)&lt;&gt;357)*($L$7:$L$606&lt;=$M357)*($M$7:$M$606&gt;=$L357))&gt;0,"⚠ Çakışma","OK")))</f>
        <v/>
      </c>
      <c r="Q357" s="32" t="str">
        <f aca="false">IF($A357="","",IF(OR($E357="",$H357="",$L357=""),"",IF(SUMPRODUCT(($A$7:$A$606&lt;&gt;"")*($E$7:$E$606=$E357)*($H$7:$H$606=$H357)*(ROW($A$7:$A$606)&lt;&gt;357)*($L$7:$L$606&lt;=$M357)*($M$7:$M$606&gt;=$L357))&gt;0,"⚠ Çakışma","OK")))</f>
        <v/>
      </c>
      <c r="R357" s="32" t="str">
        <f aca="false">IF($A357="","",IF(OR($N357&lt;&gt;"",$O357="⚠ Çakışma",$P357="⚠ Çakışma",$Q357="⚠ Çakışma"),"⚠ Kontrol Et","✓ Uygun"))</f>
        <v/>
      </c>
    </row>
    <row r="358" customFormat="false" ht="13.5" hidden="false" customHeight="true" outlineLevel="0" collapsed="false">
      <c r="A358" s="32" t="str">
        <f aca="false">IF('2-Gastronomi'!A155="","","Gastronomi ve Mutfak Sanatları")</f>
        <v/>
      </c>
      <c r="B358" s="32" t="str">
        <f aca="false">IF($A358="","",IF('2-Gastronomi'!A155="","",'2-Gastronomi'!A155))</f>
        <v/>
      </c>
      <c r="C358" s="33" t="str">
        <f aca="false">IF($A358="","",IF('2-Gastronomi'!B155="","",'2-Gastronomi'!B155))</f>
        <v/>
      </c>
      <c r="D358" s="32" t="str">
        <f aca="false">IF($A358="","",IF('2-Gastronomi'!C155="","",'2-Gastronomi'!C155))</f>
        <v/>
      </c>
      <c r="E358" s="32" t="str">
        <f aca="false">IF($A358="","",$A358&amp;"-"&amp;$D358)</f>
        <v/>
      </c>
      <c r="F358" s="32" t="str">
        <f aca="false">IF($A358="","",IF('2-Gastronomi'!D155="","",'2-Gastronomi'!D155))</f>
        <v/>
      </c>
      <c r="G358" s="32" t="str">
        <f aca="false">IF($A358="","",IF('2-Gastronomi'!E155="","",'2-Gastronomi'!E155))</f>
        <v/>
      </c>
      <c r="H358" s="32" t="str">
        <f aca="false">IF($A358="","",IF('2-Gastronomi'!F155="","",'2-Gastronomi'!F155))</f>
        <v/>
      </c>
      <c r="I358" s="32" t="str">
        <f aca="false">IF($A358="","",IF('2-Gastronomi'!G155="","",'2-Gastronomi'!G155))</f>
        <v/>
      </c>
      <c r="J358" s="32" t="str">
        <f aca="false">IF($A358="","",IF('2-Gastronomi'!H155="","",'2-Gastronomi'!H155))</f>
        <v/>
      </c>
      <c r="K358" s="32" t="str">
        <f aca="false">IF($A358="","",IF('2-Gastronomi'!I155="","",'2-Gastronomi'!I155))</f>
        <v/>
      </c>
      <c r="L358" s="32" t="str">
        <f aca="false">IF($I358="","",MATCH($I358,{"08.00";"09.00";"10.00";"11.00";"12.00";"13.00";"14.00";"15.00";"16.00";"17.00"},0))</f>
        <v/>
      </c>
      <c r="M358" s="32" t="str">
        <f aca="false">IF(OR($L358="",$J358=""),"",$L358+$J358-1)</f>
        <v/>
      </c>
      <c r="N358" s="32" t="str">
        <f aca="false">IF($A358="","",IF(OR($L358="",$M358=""),"",IF($M358&gt;10,"⚠ Saat Taşıyor","")))</f>
        <v/>
      </c>
      <c r="O358" s="32" t="str">
        <f aca="false">IF($A358="","",IF(OR($G358="",$H358="",$L358=""),"",IF(SUMPRODUCT(($A$7:$A$606&lt;&gt;"")*($G$7:$G$606=$G358)*($H$7:$H$606=$H358)*(ROW($A$7:$A$606)&lt;&gt;358)*($L$7:$L$606&lt;=$M358)*($M$7:$M$606&gt;=$L358))&gt;0,"⚠ Çakışma","OK")))</f>
        <v/>
      </c>
      <c r="P358" s="32" t="str">
        <f aca="false">IF($A358="","",IF(OR($K358="",$H358="",$L358=""),"",IF(SUMPRODUCT(($A$7:$A$606&lt;&gt;"")*($K$7:$K$606=$K358)*($H$7:$H$606=$H358)*(ROW($A$7:$A$606)&lt;&gt;358)*($L$7:$L$606&lt;=$M358)*($M$7:$M$606&gt;=$L358))&gt;0,"⚠ Çakışma","OK")))</f>
        <v/>
      </c>
      <c r="Q358" s="32" t="str">
        <f aca="false">IF($A358="","",IF(OR($E358="",$H358="",$L358=""),"",IF(SUMPRODUCT(($A$7:$A$606&lt;&gt;"")*($E$7:$E$606=$E358)*($H$7:$H$606=$H358)*(ROW($A$7:$A$606)&lt;&gt;358)*($L$7:$L$606&lt;=$M358)*($M$7:$M$606&gt;=$L358))&gt;0,"⚠ Çakışma","OK")))</f>
        <v/>
      </c>
      <c r="R358" s="32" t="str">
        <f aca="false">IF($A358="","",IF(OR($N358&lt;&gt;"",$O358="⚠ Çakışma",$P358="⚠ Çakışma",$Q358="⚠ Çakışma"),"⚠ Kontrol Et","✓ Uygun"))</f>
        <v/>
      </c>
    </row>
    <row r="359" customFormat="false" ht="13.5" hidden="false" customHeight="true" outlineLevel="0" collapsed="false">
      <c r="A359" s="32" t="str">
        <f aca="false">IF('2-Gastronomi'!A156="","","Gastronomi ve Mutfak Sanatları")</f>
        <v/>
      </c>
      <c r="B359" s="32" t="str">
        <f aca="false">IF($A359="","",IF('2-Gastronomi'!A156="","",'2-Gastronomi'!A156))</f>
        <v/>
      </c>
      <c r="C359" s="33" t="str">
        <f aca="false">IF($A359="","",IF('2-Gastronomi'!B156="","",'2-Gastronomi'!B156))</f>
        <v/>
      </c>
      <c r="D359" s="32" t="str">
        <f aca="false">IF($A359="","",IF('2-Gastronomi'!C156="","",'2-Gastronomi'!C156))</f>
        <v/>
      </c>
      <c r="E359" s="32" t="str">
        <f aca="false">IF($A359="","",$A359&amp;"-"&amp;$D359)</f>
        <v/>
      </c>
      <c r="F359" s="32" t="str">
        <f aca="false">IF($A359="","",IF('2-Gastronomi'!D156="","",'2-Gastronomi'!D156))</f>
        <v/>
      </c>
      <c r="G359" s="32" t="str">
        <f aca="false">IF($A359="","",IF('2-Gastronomi'!E156="","",'2-Gastronomi'!E156))</f>
        <v/>
      </c>
      <c r="H359" s="32" t="str">
        <f aca="false">IF($A359="","",IF('2-Gastronomi'!F156="","",'2-Gastronomi'!F156))</f>
        <v/>
      </c>
      <c r="I359" s="32" t="str">
        <f aca="false">IF($A359="","",IF('2-Gastronomi'!G156="","",'2-Gastronomi'!G156))</f>
        <v/>
      </c>
      <c r="J359" s="32" t="str">
        <f aca="false">IF($A359="","",IF('2-Gastronomi'!H156="","",'2-Gastronomi'!H156))</f>
        <v/>
      </c>
      <c r="K359" s="32" t="str">
        <f aca="false">IF($A359="","",IF('2-Gastronomi'!I156="","",'2-Gastronomi'!I156))</f>
        <v/>
      </c>
      <c r="L359" s="32" t="str">
        <f aca="false">IF($I359="","",MATCH($I359,{"08.00";"09.00";"10.00";"11.00";"12.00";"13.00";"14.00";"15.00";"16.00";"17.00"},0))</f>
        <v/>
      </c>
      <c r="M359" s="32" t="str">
        <f aca="false">IF(OR($L359="",$J359=""),"",$L359+$J359-1)</f>
        <v/>
      </c>
      <c r="N359" s="32" t="str">
        <f aca="false">IF($A359="","",IF(OR($L359="",$M359=""),"",IF($M359&gt;10,"⚠ Saat Taşıyor","")))</f>
        <v/>
      </c>
      <c r="O359" s="32" t="str">
        <f aca="false">IF($A359="","",IF(OR($G359="",$H359="",$L359=""),"",IF(SUMPRODUCT(($A$7:$A$606&lt;&gt;"")*($G$7:$G$606=$G359)*($H$7:$H$606=$H359)*(ROW($A$7:$A$606)&lt;&gt;359)*($L$7:$L$606&lt;=$M359)*($M$7:$M$606&gt;=$L359))&gt;0,"⚠ Çakışma","OK")))</f>
        <v/>
      </c>
      <c r="P359" s="32" t="str">
        <f aca="false">IF($A359="","",IF(OR($K359="",$H359="",$L359=""),"",IF(SUMPRODUCT(($A$7:$A$606&lt;&gt;"")*($K$7:$K$606=$K359)*($H$7:$H$606=$H359)*(ROW($A$7:$A$606)&lt;&gt;359)*($L$7:$L$606&lt;=$M359)*($M$7:$M$606&gt;=$L359))&gt;0,"⚠ Çakışma","OK")))</f>
        <v/>
      </c>
      <c r="Q359" s="32" t="str">
        <f aca="false">IF($A359="","",IF(OR($E359="",$H359="",$L359=""),"",IF(SUMPRODUCT(($A$7:$A$606&lt;&gt;"")*($E$7:$E$606=$E359)*($H$7:$H$606=$H359)*(ROW($A$7:$A$606)&lt;&gt;359)*($L$7:$L$606&lt;=$M359)*($M$7:$M$606&gt;=$L359))&gt;0,"⚠ Çakışma","OK")))</f>
        <v/>
      </c>
      <c r="R359" s="32" t="str">
        <f aca="false">IF($A359="","",IF(OR($N359&lt;&gt;"",$O359="⚠ Çakışma",$P359="⚠ Çakışma",$Q359="⚠ Çakışma"),"⚠ Kontrol Et","✓ Uygun"))</f>
        <v/>
      </c>
    </row>
    <row r="360" customFormat="false" ht="13.5" hidden="false" customHeight="true" outlineLevel="0" collapsed="false">
      <c r="A360" s="32" t="str">
        <f aca="false">IF('2-Gastronomi'!A157="","","Gastronomi ve Mutfak Sanatları")</f>
        <v/>
      </c>
      <c r="B360" s="32" t="str">
        <f aca="false">IF($A360="","",IF('2-Gastronomi'!A157="","",'2-Gastronomi'!A157))</f>
        <v/>
      </c>
      <c r="C360" s="33" t="str">
        <f aca="false">IF($A360="","",IF('2-Gastronomi'!B157="","",'2-Gastronomi'!B157))</f>
        <v/>
      </c>
      <c r="D360" s="32" t="str">
        <f aca="false">IF($A360="","",IF('2-Gastronomi'!C157="","",'2-Gastronomi'!C157))</f>
        <v/>
      </c>
      <c r="E360" s="32" t="str">
        <f aca="false">IF($A360="","",$A360&amp;"-"&amp;$D360)</f>
        <v/>
      </c>
      <c r="F360" s="32" t="str">
        <f aca="false">IF($A360="","",IF('2-Gastronomi'!D157="","",'2-Gastronomi'!D157))</f>
        <v/>
      </c>
      <c r="G360" s="32" t="str">
        <f aca="false">IF($A360="","",IF('2-Gastronomi'!E157="","",'2-Gastronomi'!E157))</f>
        <v/>
      </c>
      <c r="H360" s="32" t="str">
        <f aca="false">IF($A360="","",IF('2-Gastronomi'!F157="","",'2-Gastronomi'!F157))</f>
        <v/>
      </c>
      <c r="I360" s="32" t="str">
        <f aca="false">IF($A360="","",IF('2-Gastronomi'!G157="","",'2-Gastronomi'!G157))</f>
        <v/>
      </c>
      <c r="J360" s="32" t="str">
        <f aca="false">IF($A360="","",IF('2-Gastronomi'!H157="","",'2-Gastronomi'!H157))</f>
        <v/>
      </c>
      <c r="K360" s="32" t="str">
        <f aca="false">IF($A360="","",IF('2-Gastronomi'!I157="","",'2-Gastronomi'!I157))</f>
        <v/>
      </c>
      <c r="L360" s="32" t="str">
        <f aca="false">IF($I360="","",MATCH($I360,{"08.00";"09.00";"10.00";"11.00";"12.00";"13.00";"14.00";"15.00";"16.00";"17.00"},0))</f>
        <v/>
      </c>
      <c r="M360" s="32" t="str">
        <f aca="false">IF(OR($L360="",$J360=""),"",$L360+$J360-1)</f>
        <v/>
      </c>
      <c r="N360" s="32" t="str">
        <f aca="false">IF($A360="","",IF(OR($L360="",$M360=""),"",IF($M360&gt;10,"⚠ Saat Taşıyor","")))</f>
        <v/>
      </c>
      <c r="O360" s="32" t="str">
        <f aca="false">IF($A360="","",IF(OR($G360="",$H360="",$L360=""),"",IF(SUMPRODUCT(($A$7:$A$606&lt;&gt;"")*($G$7:$G$606=$G360)*($H$7:$H$606=$H360)*(ROW($A$7:$A$606)&lt;&gt;360)*($L$7:$L$606&lt;=$M360)*($M$7:$M$606&gt;=$L360))&gt;0,"⚠ Çakışma","OK")))</f>
        <v/>
      </c>
      <c r="P360" s="32" t="str">
        <f aca="false">IF($A360="","",IF(OR($K360="",$H360="",$L360=""),"",IF(SUMPRODUCT(($A$7:$A$606&lt;&gt;"")*($K$7:$K$606=$K360)*($H$7:$H$606=$H360)*(ROW($A$7:$A$606)&lt;&gt;360)*($L$7:$L$606&lt;=$M360)*($M$7:$M$606&gt;=$L360))&gt;0,"⚠ Çakışma","OK")))</f>
        <v/>
      </c>
      <c r="Q360" s="32" t="str">
        <f aca="false">IF($A360="","",IF(OR($E360="",$H360="",$L360=""),"",IF(SUMPRODUCT(($A$7:$A$606&lt;&gt;"")*($E$7:$E$606=$E360)*($H$7:$H$606=$H360)*(ROW($A$7:$A$606)&lt;&gt;360)*($L$7:$L$606&lt;=$M360)*($M$7:$M$606&gt;=$L360))&gt;0,"⚠ Çakışma","OK")))</f>
        <v/>
      </c>
      <c r="R360" s="32" t="str">
        <f aca="false">IF($A360="","",IF(OR($N360&lt;&gt;"",$O360="⚠ Çakışma",$P360="⚠ Çakışma",$Q360="⚠ Çakışma"),"⚠ Kontrol Et","✓ Uygun"))</f>
        <v/>
      </c>
    </row>
    <row r="361" customFormat="false" ht="13.5" hidden="false" customHeight="true" outlineLevel="0" collapsed="false">
      <c r="A361" s="32" t="str">
        <f aca="false">IF('2-Gastronomi'!A158="","","Gastronomi ve Mutfak Sanatları")</f>
        <v/>
      </c>
      <c r="B361" s="32" t="str">
        <f aca="false">IF($A361="","",IF('2-Gastronomi'!A158="","",'2-Gastronomi'!A158))</f>
        <v/>
      </c>
      <c r="C361" s="33" t="str">
        <f aca="false">IF($A361="","",IF('2-Gastronomi'!B158="","",'2-Gastronomi'!B158))</f>
        <v/>
      </c>
      <c r="D361" s="32" t="str">
        <f aca="false">IF($A361="","",IF('2-Gastronomi'!C158="","",'2-Gastronomi'!C158))</f>
        <v/>
      </c>
      <c r="E361" s="32" t="str">
        <f aca="false">IF($A361="","",$A361&amp;"-"&amp;$D361)</f>
        <v/>
      </c>
      <c r="F361" s="32" t="str">
        <f aca="false">IF($A361="","",IF('2-Gastronomi'!D158="","",'2-Gastronomi'!D158))</f>
        <v/>
      </c>
      <c r="G361" s="32" t="str">
        <f aca="false">IF($A361="","",IF('2-Gastronomi'!E158="","",'2-Gastronomi'!E158))</f>
        <v/>
      </c>
      <c r="H361" s="32" t="str">
        <f aca="false">IF($A361="","",IF('2-Gastronomi'!F158="","",'2-Gastronomi'!F158))</f>
        <v/>
      </c>
      <c r="I361" s="32" t="str">
        <f aca="false">IF($A361="","",IF('2-Gastronomi'!G158="","",'2-Gastronomi'!G158))</f>
        <v/>
      </c>
      <c r="J361" s="32" t="str">
        <f aca="false">IF($A361="","",IF('2-Gastronomi'!H158="","",'2-Gastronomi'!H158))</f>
        <v/>
      </c>
      <c r="K361" s="32" t="str">
        <f aca="false">IF($A361="","",IF('2-Gastronomi'!I158="","",'2-Gastronomi'!I158))</f>
        <v/>
      </c>
      <c r="L361" s="32" t="str">
        <f aca="false">IF($I361="","",MATCH($I361,{"08.00";"09.00";"10.00";"11.00";"12.00";"13.00";"14.00";"15.00";"16.00";"17.00"},0))</f>
        <v/>
      </c>
      <c r="M361" s="32" t="str">
        <f aca="false">IF(OR($L361="",$J361=""),"",$L361+$J361-1)</f>
        <v/>
      </c>
      <c r="N361" s="32" t="str">
        <f aca="false">IF($A361="","",IF(OR($L361="",$M361=""),"",IF($M361&gt;10,"⚠ Saat Taşıyor","")))</f>
        <v/>
      </c>
      <c r="O361" s="32" t="str">
        <f aca="false">IF($A361="","",IF(OR($G361="",$H361="",$L361=""),"",IF(SUMPRODUCT(($A$7:$A$606&lt;&gt;"")*($G$7:$G$606=$G361)*($H$7:$H$606=$H361)*(ROW($A$7:$A$606)&lt;&gt;361)*($L$7:$L$606&lt;=$M361)*($M$7:$M$606&gt;=$L361))&gt;0,"⚠ Çakışma","OK")))</f>
        <v/>
      </c>
      <c r="P361" s="32" t="str">
        <f aca="false">IF($A361="","",IF(OR($K361="",$H361="",$L361=""),"",IF(SUMPRODUCT(($A$7:$A$606&lt;&gt;"")*($K$7:$K$606=$K361)*($H$7:$H$606=$H361)*(ROW($A$7:$A$606)&lt;&gt;361)*($L$7:$L$606&lt;=$M361)*($M$7:$M$606&gt;=$L361))&gt;0,"⚠ Çakışma","OK")))</f>
        <v/>
      </c>
      <c r="Q361" s="32" t="str">
        <f aca="false">IF($A361="","",IF(OR($E361="",$H361="",$L361=""),"",IF(SUMPRODUCT(($A$7:$A$606&lt;&gt;"")*($E$7:$E$606=$E361)*($H$7:$H$606=$H361)*(ROW($A$7:$A$606)&lt;&gt;361)*($L$7:$L$606&lt;=$M361)*($M$7:$M$606&gt;=$L361))&gt;0,"⚠ Çakışma","OK")))</f>
        <v/>
      </c>
      <c r="R361" s="32" t="str">
        <f aca="false">IF($A361="","",IF(OR($N361&lt;&gt;"",$O361="⚠ Çakışma",$P361="⚠ Çakışma",$Q361="⚠ Çakışma"),"⚠ Kontrol Et","✓ Uygun"))</f>
        <v/>
      </c>
    </row>
    <row r="362" customFormat="false" ht="13.5" hidden="false" customHeight="true" outlineLevel="0" collapsed="false">
      <c r="A362" s="32" t="str">
        <f aca="false">IF('2-Gastronomi'!A159="","","Gastronomi ve Mutfak Sanatları")</f>
        <v/>
      </c>
      <c r="B362" s="32" t="str">
        <f aca="false">IF($A362="","",IF('2-Gastronomi'!A159="","",'2-Gastronomi'!A159))</f>
        <v/>
      </c>
      <c r="C362" s="33" t="str">
        <f aca="false">IF($A362="","",IF('2-Gastronomi'!B159="","",'2-Gastronomi'!B159))</f>
        <v/>
      </c>
      <c r="D362" s="32" t="str">
        <f aca="false">IF($A362="","",IF('2-Gastronomi'!C159="","",'2-Gastronomi'!C159))</f>
        <v/>
      </c>
      <c r="E362" s="32" t="str">
        <f aca="false">IF($A362="","",$A362&amp;"-"&amp;$D362)</f>
        <v/>
      </c>
      <c r="F362" s="32" t="str">
        <f aca="false">IF($A362="","",IF('2-Gastronomi'!D159="","",'2-Gastronomi'!D159))</f>
        <v/>
      </c>
      <c r="G362" s="32" t="str">
        <f aca="false">IF($A362="","",IF('2-Gastronomi'!E159="","",'2-Gastronomi'!E159))</f>
        <v/>
      </c>
      <c r="H362" s="32" t="str">
        <f aca="false">IF($A362="","",IF('2-Gastronomi'!F159="","",'2-Gastronomi'!F159))</f>
        <v/>
      </c>
      <c r="I362" s="32" t="str">
        <f aca="false">IF($A362="","",IF('2-Gastronomi'!G159="","",'2-Gastronomi'!G159))</f>
        <v/>
      </c>
      <c r="J362" s="32" t="str">
        <f aca="false">IF($A362="","",IF('2-Gastronomi'!H159="","",'2-Gastronomi'!H159))</f>
        <v/>
      </c>
      <c r="K362" s="32" t="str">
        <f aca="false">IF($A362="","",IF('2-Gastronomi'!I159="","",'2-Gastronomi'!I159))</f>
        <v/>
      </c>
      <c r="L362" s="32" t="str">
        <f aca="false">IF($I362="","",MATCH($I362,{"08.00";"09.00";"10.00";"11.00";"12.00";"13.00";"14.00";"15.00";"16.00";"17.00"},0))</f>
        <v/>
      </c>
      <c r="M362" s="32" t="str">
        <f aca="false">IF(OR($L362="",$J362=""),"",$L362+$J362-1)</f>
        <v/>
      </c>
      <c r="N362" s="32" t="str">
        <f aca="false">IF($A362="","",IF(OR($L362="",$M362=""),"",IF($M362&gt;10,"⚠ Saat Taşıyor","")))</f>
        <v/>
      </c>
      <c r="O362" s="32" t="str">
        <f aca="false">IF($A362="","",IF(OR($G362="",$H362="",$L362=""),"",IF(SUMPRODUCT(($A$7:$A$606&lt;&gt;"")*($G$7:$G$606=$G362)*($H$7:$H$606=$H362)*(ROW($A$7:$A$606)&lt;&gt;362)*($L$7:$L$606&lt;=$M362)*($M$7:$M$606&gt;=$L362))&gt;0,"⚠ Çakışma","OK")))</f>
        <v/>
      </c>
      <c r="P362" s="32" t="str">
        <f aca="false">IF($A362="","",IF(OR($K362="",$H362="",$L362=""),"",IF(SUMPRODUCT(($A$7:$A$606&lt;&gt;"")*($K$7:$K$606=$K362)*($H$7:$H$606=$H362)*(ROW($A$7:$A$606)&lt;&gt;362)*($L$7:$L$606&lt;=$M362)*($M$7:$M$606&gt;=$L362))&gt;0,"⚠ Çakışma","OK")))</f>
        <v/>
      </c>
      <c r="Q362" s="32" t="str">
        <f aca="false">IF($A362="","",IF(OR($E362="",$H362="",$L362=""),"",IF(SUMPRODUCT(($A$7:$A$606&lt;&gt;"")*($E$7:$E$606=$E362)*($H$7:$H$606=$H362)*(ROW($A$7:$A$606)&lt;&gt;362)*($L$7:$L$606&lt;=$M362)*($M$7:$M$606&gt;=$L362))&gt;0,"⚠ Çakışma","OK")))</f>
        <v/>
      </c>
      <c r="R362" s="32" t="str">
        <f aca="false">IF($A362="","",IF(OR($N362&lt;&gt;"",$O362="⚠ Çakışma",$P362="⚠ Çakışma",$Q362="⚠ Çakışma"),"⚠ Kontrol Et","✓ Uygun"))</f>
        <v/>
      </c>
    </row>
    <row r="363" customFormat="false" ht="13.5" hidden="false" customHeight="true" outlineLevel="0" collapsed="false">
      <c r="A363" s="32" t="str">
        <f aca="false">IF('2-Gastronomi'!A160="","","Gastronomi ve Mutfak Sanatları")</f>
        <v/>
      </c>
      <c r="B363" s="32" t="str">
        <f aca="false">IF($A363="","",IF('2-Gastronomi'!A160="","",'2-Gastronomi'!A160))</f>
        <v/>
      </c>
      <c r="C363" s="33" t="str">
        <f aca="false">IF($A363="","",IF('2-Gastronomi'!B160="","",'2-Gastronomi'!B160))</f>
        <v/>
      </c>
      <c r="D363" s="32" t="str">
        <f aca="false">IF($A363="","",IF('2-Gastronomi'!C160="","",'2-Gastronomi'!C160))</f>
        <v/>
      </c>
      <c r="E363" s="32" t="str">
        <f aca="false">IF($A363="","",$A363&amp;"-"&amp;$D363)</f>
        <v/>
      </c>
      <c r="F363" s="32" t="str">
        <f aca="false">IF($A363="","",IF('2-Gastronomi'!D160="","",'2-Gastronomi'!D160))</f>
        <v/>
      </c>
      <c r="G363" s="32" t="str">
        <f aca="false">IF($A363="","",IF('2-Gastronomi'!E160="","",'2-Gastronomi'!E160))</f>
        <v/>
      </c>
      <c r="H363" s="32" t="str">
        <f aca="false">IF($A363="","",IF('2-Gastronomi'!F160="","",'2-Gastronomi'!F160))</f>
        <v/>
      </c>
      <c r="I363" s="32" t="str">
        <f aca="false">IF($A363="","",IF('2-Gastronomi'!G160="","",'2-Gastronomi'!G160))</f>
        <v/>
      </c>
      <c r="J363" s="32" t="str">
        <f aca="false">IF($A363="","",IF('2-Gastronomi'!H160="","",'2-Gastronomi'!H160))</f>
        <v/>
      </c>
      <c r="K363" s="32" t="str">
        <f aca="false">IF($A363="","",IF('2-Gastronomi'!I160="","",'2-Gastronomi'!I160))</f>
        <v/>
      </c>
      <c r="L363" s="32" t="str">
        <f aca="false">IF($I363="","",MATCH($I363,{"08.00";"09.00";"10.00";"11.00";"12.00";"13.00";"14.00";"15.00";"16.00";"17.00"},0))</f>
        <v/>
      </c>
      <c r="M363" s="32" t="str">
        <f aca="false">IF(OR($L363="",$J363=""),"",$L363+$J363-1)</f>
        <v/>
      </c>
      <c r="N363" s="32" t="str">
        <f aca="false">IF($A363="","",IF(OR($L363="",$M363=""),"",IF($M363&gt;10,"⚠ Saat Taşıyor","")))</f>
        <v/>
      </c>
      <c r="O363" s="32" t="str">
        <f aca="false">IF($A363="","",IF(OR($G363="",$H363="",$L363=""),"",IF(SUMPRODUCT(($A$7:$A$606&lt;&gt;"")*($G$7:$G$606=$G363)*($H$7:$H$606=$H363)*(ROW($A$7:$A$606)&lt;&gt;363)*($L$7:$L$606&lt;=$M363)*($M$7:$M$606&gt;=$L363))&gt;0,"⚠ Çakışma","OK")))</f>
        <v/>
      </c>
      <c r="P363" s="32" t="str">
        <f aca="false">IF($A363="","",IF(OR($K363="",$H363="",$L363=""),"",IF(SUMPRODUCT(($A$7:$A$606&lt;&gt;"")*($K$7:$K$606=$K363)*($H$7:$H$606=$H363)*(ROW($A$7:$A$606)&lt;&gt;363)*($L$7:$L$606&lt;=$M363)*($M$7:$M$606&gt;=$L363))&gt;0,"⚠ Çakışma","OK")))</f>
        <v/>
      </c>
      <c r="Q363" s="32" t="str">
        <f aca="false">IF($A363="","",IF(OR($E363="",$H363="",$L363=""),"",IF(SUMPRODUCT(($A$7:$A$606&lt;&gt;"")*($E$7:$E$606=$E363)*($H$7:$H$606=$H363)*(ROW($A$7:$A$606)&lt;&gt;363)*($L$7:$L$606&lt;=$M363)*($M$7:$M$606&gt;=$L363))&gt;0,"⚠ Çakışma","OK")))</f>
        <v/>
      </c>
      <c r="R363" s="32" t="str">
        <f aca="false">IF($A363="","",IF(OR($N363&lt;&gt;"",$O363="⚠ Çakışma",$P363="⚠ Çakışma",$Q363="⚠ Çakışma"),"⚠ Kontrol Et","✓ Uygun"))</f>
        <v/>
      </c>
    </row>
    <row r="364" customFormat="false" ht="13.5" hidden="false" customHeight="true" outlineLevel="0" collapsed="false">
      <c r="A364" s="32" t="str">
        <f aca="false">IF('2-Gastronomi'!A161="","","Gastronomi ve Mutfak Sanatları")</f>
        <v/>
      </c>
      <c r="B364" s="32" t="str">
        <f aca="false">IF($A364="","",IF('2-Gastronomi'!A161="","",'2-Gastronomi'!A161))</f>
        <v/>
      </c>
      <c r="C364" s="33" t="str">
        <f aca="false">IF($A364="","",IF('2-Gastronomi'!B161="","",'2-Gastronomi'!B161))</f>
        <v/>
      </c>
      <c r="D364" s="32" t="str">
        <f aca="false">IF($A364="","",IF('2-Gastronomi'!C161="","",'2-Gastronomi'!C161))</f>
        <v/>
      </c>
      <c r="E364" s="32" t="str">
        <f aca="false">IF($A364="","",$A364&amp;"-"&amp;$D364)</f>
        <v/>
      </c>
      <c r="F364" s="32" t="str">
        <f aca="false">IF($A364="","",IF('2-Gastronomi'!D161="","",'2-Gastronomi'!D161))</f>
        <v/>
      </c>
      <c r="G364" s="32" t="str">
        <f aca="false">IF($A364="","",IF('2-Gastronomi'!E161="","",'2-Gastronomi'!E161))</f>
        <v/>
      </c>
      <c r="H364" s="32" t="str">
        <f aca="false">IF($A364="","",IF('2-Gastronomi'!F161="","",'2-Gastronomi'!F161))</f>
        <v/>
      </c>
      <c r="I364" s="32" t="str">
        <f aca="false">IF($A364="","",IF('2-Gastronomi'!G161="","",'2-Gastronomi'!G161))</f>
        <v/>
      </c>
      <c r="J364" s="32" t="str">
        <f aca="false">IF($A364="","",IF('2-Gastronomi'!H161="","",'2-Gastronomi'!H161))</f>
        <v/>
      </c>
      <c r="K364" s="32" t="str">
        <f aca="false">IF($A364="","",IF('2-Gastronomi'!I161="","",'2-Gastronomi'!I161))</f>
        <v/>
      </c>
      <c r="L364" s="32" t="str">
        <f aca="false">IF($I364="","",MATCH($I364,{"08.00";"09.00";"10.00";"11.00";"12.00";"13.00";"14.00";"15.00";"16.00";"17.00"},0))</f>
        <v/>
      </c>
      <c r="M364" s="32" t="str">
        <f aca="false">IF(OR($L364="",$J364=""),"",$L364+$J364-1)</f>
        <v/>
      </c>
      <c r="N364" s="32" t="str">
        <f aca="false">IF($A364="","",IF(OR($L364="",$M364=""),"",IF($M364&gt;10,"⚠ Saat Taşıyor","")))</f>
        <v/>
      </c>
      <c r="O364" s="32" t="str">
        <f aca="false">IF($A364="","",IF(OR($G364="",$H364="",$L364=""),"",IF(SUMPRODUCT(($A$7:$A$606&lt;&gt;"")*($G$7:$G$606=$G364)*($H$7:$H$606=$H364)*(ROW($A$7:$A$606)&lt;&gt;364)*($L$7:$L$606&lt;=$M364)*($M$7:$M$606&gt;=$L364))&gt;0,"⚠ Çakışma","OK")))</f>
        <v/>
      </c>
      <c r="P364" s="32" t="str">
        <f aca="false">IF($A364="","",IF(OR($K364="",$H364="",$L364=""),"",IF(SUMPRODUCT(($A$7:$A$606&lt;&gt;"")*($K$7:$K$606=$K364)*($H$7:$H$606=$H364)*(ROW($A$7:$A$606)&lt;&gt;364)*($L$7:$L$606&lt;=$M364)*($M$7:$M$606&gt;=$L364))&gt;0,"⚠ Çakışma","OK")))</f>
        <v/>
      </c>
      <c r="Q364" s="32" t="str">
        <f aca="false">IF($A364="","",IF(OR($E364="",$H364="",$L364=""),"",IF(SUMPRODUCT(($A$7:$A$606&lt;&gt;"")*($E$7:$E$606=$E364)*($H$7:$H$606=$H364)*(ROW($A$7:$A$606)&lt;&gt;364)*($L$7:$L$606&lt;=$M364)*($M$7:$M$606&gt;=$L364))&gt;0,"⚠ Çakışma","OK")))</f>
        <v/>
      </c>
      <c r="R364" s="32" t="str">
        <f aca="false">IF($A364="","",IF(OR($N364&lt;&gt;"",$O364="⚠ Çakışma",$P364="⚠ Çakışma",$Q364="⚠ Çakışma"),"⚠ Kontrol Et","✓ Uygun"))</f>
        <v/>
      </c>
    </row>
    <row r="365" customFormat="false" ht="13.5" hidden="false" customHeight="true" outlineLevel="0" collapsed="false">
      <c r="A365" s="32" t="str">
        <f aca="false">IF('2-Gastronomi'!A162="","","Gastronomi ve Mutfak Sanatları")</f>
        <v/>
      </c>
      <c r="B365" s="32" t="str">
        <f aca="false">IF($A365="","",IF('2-Gastronomi'!A162="","",'2-Gastronomi'!A162))</f>
        <v/>
      </c>
      <c r="C365" s="33" t="str">
        <f aca="false">IF($A365="","",IF('2-Gastronomi'!B162="","",'2-Gastronomi'!B162))</f>
        <v/>
      </c>
      <c r="D365" s="32" t="str">
        <f aca="false">IF($A365="","",IF('2-Gastronomi'!C162="","",'2-Gastronomi'!C162))</f>
        <v/>
      </c>
      <c r="E365" s="32" t="str">
        <f aca="false">IF($A365="","",$A365&amp;"-"&amp;$D365)</f>
        <v/>
      </c>
      <c r="F365" s="32" t="str">
        <f aca="false">IF($A365="","",IF('2-Gastronomi'!D162="","",'2-Gastronomi'!D162))</f>
        <v/>
      </c>
      <c r="G365" s="32" t="str">
        <f aca="false">IF($A365="","",IF('2-Gastronomi'!E162="","",'2-Gastronomi'!E162))</f>
        <v/>
      </c>
      <c r="H365" s="32" t="str">
        <f aca="false">IF($A365="","",IF('2-Gastronomi'!F162="","",'2-Gastronomi'!F162))</f>
        <v/>
      </c>
      <c r="I365" s="32" t="str">
        <f aca="false">IF($A365="","",IF('2-Gastronomi'!G162="","",'2-Gastronomi'!G162))</f>
        <v/>
      </c>
      <c r="J365" s="32" t="str">
        <f aca="false">IF($A365="","",IF('2-Gastronomi'!H162="","",'2-Gastronomi'!H162))</f>
        <v/>
      </c>
      <c r="K365" s="32" t="str">
        <f aca="false">IF($A365="","",IF('2-Gastronomi'!I162="","",'2-Gastronomi'!I162))</f>
        <v/>
      </c>
      <c r="L365" s="32" t="str">
        <f aca="false">IF($I365="","",MATCH($I365,{"08.00";"09.00";"10.00";"11.00";"12.00";"13.00";"14.00";"15.00";"16.00";"17.00"},0))</f>
        <v/>
      </c>
      <c r="M365" s="32" t="str">
        <f aca="false">IF(OR($L365="",$J365=""),"",$L365+$J365-1)</f>
        <v/>
      </c>
      <c r="N365" s="32" t="str">
        <f aca="false">IF($A365="","",IF(OR($L365="",$M365=""),"",IF($M365&gt;10,"⚠ Saat Taşıyor","")))</f>
        <v/>
      </c>
      <c r="O365" s="32" t="str">
        <f aca="false">IF($A365="","",IF(OR($G365="",$H365="",$L365=""),"",IF(SUMPRODUCT(($A$7:$A$606&lt;&gt;"")*($G$7:$G$606=$G365)*($H$7:$H$606=$H365)*(ROW($A$7:$A$606)&lt;&gt;365)*($L$7:$L$606&lt;=$M365)*($M$7:$M$606&gt;=$L365))&gt;0,"⚠ Çakışma","OK")))</f>
        <v/>
      </c>
      <c r="P365" s="32" t="str">
        <f aca="false">IF($A365="","",IF(OR($K365="",$H365="",$L365=""),"",IF(SUMPRODUCT(($A$7:$A$606&lt;&gt;"")*($K$7:$K$606=$K365)*($H$7:$H$606=$H365)*(ROW($A$7:$A$606)&lt;&gt;365)*($L$7:$L$606&lt;=$M365)*($M$7:$M$606&gt;=$L365))&gt;0,"⚠ Çakışma","OK")))</f>
        <v/>
      </c>
      <c r="Q365" s="32" t="str">
        <f aca="false">IF($A365="","",IF(OR($E365="",$H365="",$L365=""),"",IF(SUMPRODUCT(($A$7:$A$606&lt;&gt;"")*($E$7:$E$606=$E365)*($H$7:$H$606=$H365)*(ROW($A$7:$A$606)&lt;&gt;365)*($L$7:$L$606&lt;=$M365)*($M$7:$M$606&gt;=$L365))&gt;0,"⚠ Çakışma","OK")))</f>
        <v/>
      </c>
      <c r="R365" s="32" t="str">
        <f aca="false">IF($A365="","",IF(OR($N365&lt;&gt;"",$O365="⚠ Çakışma",$P365="⚠ Çakışma",$Q365="⚠ Çakışma"),"⚠ Kontrol Et","✓ Uygun"))</f>
        <v/>
      </c>
    </row>
    <row r="366" customFormat="false" ht="13.5" hidden="false" customHeight="true" outlineLevel="0" collapsed="false">
      <c r="A366" s="32" t="str">
        <f aca="false">IF('2-Gastronomi'!A163="","","Gastronomi ve Mutfak Sanatları")</f>
        <v/>
      </c>
      <c r="B366" s="32" t="str">
        <f aca="false">IF($A366="","",IF('2-Gastronomi'!A163="","",'2-Gastronomi'!A163))</f>
        <v/>
      </c>
      <c r="C366" s="33" t="str">
        <f aca="false">IF($A366="","",IF('2-Gastronomi'!B163="","",'2-Gastronomi'!B163))</f>
        <v/>
      </c>
      <c r="D366" s="32" t="str">
        <f aca="false">IF($A366="","",IF('2-Gastronomi'!C163="","",'2-Gastronomi'!C163))</f>
        <v/>
      </c>
      <c r="E366" s="32" t="str">
        <f aca="false">IF($A366="","",$A366&amp;"-"&amp;$D366)</f>
        <v/>
      </c>
      <c r="F366" s="32" t="str">
        <f aca="false">IF($A366="","",IF('2-Gastronomi'!D163="","",'2-Gastronomi'!D163))</f>
        <v/>
      </c>
      <c r="G366" s="32" t="str">
        <f aca="false">IF($A366="","",IF('2-Gastronomi'!E163="","",'2-Gastronomi'!E163))</f>
        <v/>
      </c>
      <c r="H366" s="32" t="str">
        <f aca="false">IF($A366="","",IF('2-Gastronomi'!F163="","",'2-Gastronomi'!F163))</f>
        <v/>
      </c>
      <c r="I366" s="32" t="str">
        <f aca="false">IF($A366="","",IF('2-Gastronomi'!G163="","",'2-Gastronomi'!G163))</f>
        <v/>
      </c>
      <c r="J366" s="32" t="str">
        <f aca="false">IF($A366="","",IF('2-Gastronomi'!H163="","",'2-Gastronomi'!H163))</f>
        <v/>
      </c>
      <c r="K366" s="32" t="str">
        <f aca="false">IF($A366="","",IF('2-Gastronomi'!I163="","",'2-Gastronomi'!I163))</f>
        <v/>
      </c>
      <c r="L366" s="32" t="str">
        <f aca="false">IF($I366="","",MATCH($I366,{"08.00";"09.00";"10.00";"11.00";"12.00";"13.00";"14.00";"15.00";"16.00";"17.00"},0))</f>
        <v/>
      </c>
      <c r="M366" s="32" t="str">
        <f aca="false">IF(OR($L366="",$J366=""),"",$L366+$J366-1)</f>
        <v/>
      </c>
      <c r="N366" s="32" t="str">
        <f aca="false">IF($A366="","",IF(OR($L366="",$M366=""),"",IF($M366&gt;10,"⚠ Saat Taşıyor","")))</f>
        <v/>
      </c>
      <c r="O366" s="32" t="str">
        <f aca="false">IF($A366="","",IF(OR($G366="",$H366="",$L366=""),"",IF(SUMPRODUCT(($A$7:$A$606&lt;&gt;"")*($G$7:$G$606=$G366)*($H$7:$H$606=$H366)*(ROW($A$7:$A$606)&lt;&gt;366)*($L$7:$L$606&lt;=$M366)*($M$7:$M$606&gt;=$L366))&gt;0,"⚠ Çakışma","OK")))</f>
        <v/>
      </c>
      <c r="P366" s="32" t="str">
        <f aca="false">IF($A366="","",IF(OR($K366="",$H366="",$L366=""),"",IF(SUMPRODUCT(($A$7:$A$606&lt;&gt;"")*($K$7:$K$606=$K366)*($H$7:$H$606=$H366)*(ROW($A$7:$A$606)&lt;&gt;366)*($L$7:$L$606&lt;=$M366)*($M$7:$M$606&gt;=$L366))&gt;0,"⚠ Çakışma","OK")))</f>
        <v/>
      </c>
      <c r="Q366" s="32" t="str">
        <f aca="false">IF($A366="","",IF(OR($E366="",$H366="",$L366=""),"",IF(SUMPRODUCT(($A$7:$A$606&lt;&gt;"")*($E$7:$E$606=$E366)*($H$7:$H$606=$H366)*(ROW($A$7:$A$606)&lt;&gt;366)*($L$7:$L$606&lt;=$M366)*($M$7:$M$606&gt;=$L366))&gt;0,"⚠ Çakışma","OK")))</f>
        <v/>
      </c>
      <c r="R366" s="32" t="str">
        <f aca="false">IF($A366="","",IF(OR($N366&lt;&gt;"",$O366="⚠ Çakışma",$P366="⚠ Çakışma",$Q366="⚠ Çakışma"),"⚠ Kontrol Et","✓ Uygun"))</f>
        <v/>
      </c>
    </row>
    <row r="367" customFormat="false" ht="13.5" hidden="false" customHeight="true" outlineLevel="0" collapsed="false">
      <c r="A367" s="32" t="str">
        <f aca="false">IF('2-Gastronomi'!A164="","","Gastronomi ve Mutfak Sanatları")</f>
        <v/>
      </c>
      <c r="B367" s="32" t="str">
        <f aca="false">IF($A367="","",IF('2-Gastronomi'!A164="","",'2-Gastronomi'!A164))</f>
        <v/>
      </c>
      <c r="C367" s="33" t="str">
        <f aca="false">IF($A367="","",IF('2-Gastronomi'!B164="","",'2-Gastronomi'!B164))</f>
        <v/>
      </c>
      <c r="D367" s="32" t="str">
        <f aca="false">IF($A367="","",IF('2-Gastronomi'!C164="","",'2-Gastronomi'!C164))</f>
        <v/>
      </c>
      <c r="E367" s="32" t="str">
        <f aca="false">IF($A367="","",$A367&amp;"-"&amp;$D367)</f>
        <v/>
      </c>
      <c r="F367" s="32" t="str">
        <f aca="false">IF($A367="","",IF('2-Gastronomi'!D164="","",'2-Gastronomi'!D164))</f>
        <v/>
      </c>
      <c r="G367" s="32" t="str">
        <f aca="false">IF($A367="","",IF('2-Gastronomi'!E164="","",'2-Gastronomi'!E164))</f>
        <v/>
      </c>
      <c r="H367" s="32" t="str">
        <f aca="false">IF($A367="","",IF('2-Gastronomi'!F164="","",'2-Gastronomi'!F164))</f>
        <v/>
      </c>
      <c r="I367" s="32" t="str">
        <f aca="false">IF($A367="","",IF('2-Gastronomi'!G164="","",'2-Gastronomi'!G164))</f>
        <v/>
      </c>
      <c r="J367" s="32" t="str">
        <f aca="false">IF($A367="","",IF('2-Gastronomi'!H164="","",'2-Gastronomi'!H164))</f>
        <v/>
      </c>
      <c r="K367" s="32" t="str">
        <f aca="false">IF($A367="","",IF('2-Gastronomi'!I164="","",'2-Gastronomi'!I164))</f>
        <v/>
      </c>
      <c r="L367" s="32" t="str">
        <f aca="false">IF($I367="","",MATCH($I367,{"08.00";"09.00";"10.00";"11.00";"12.00";"13.00";"14.00";"15.00";"16.00";"17.00"},0))</f>
        <v/>
      </c>
      <c r="M367" s="32" t="str">
        <f aca="false">IF(OR($L367="",$J367=""),"",$L367+$J367-1)</f>
        <v/>
      </c>
      <c r="N367" s="32" t="str">
        <f aca="false">IF($A367="","",IF(OR($L367="",$M367=""),"",IF($M367&gt;10,"⚠ Saat Taşıyor","")))</f>
        <v/>
      </c>
      <c r="O367" s="32" t="str">
        <f aca="false">IF($A367="","",IF(OR($G367="",$H367="",$L367=""),"",IF(SUMPRODUCT(($A$7:$A$606&lt;&gt;"")*($G$7:$G$606=$G367)*($H$7:$H$606=$H367)*(ROW($A$7:$A$606)&lt;&gt;367)*($L$7:$L$606&lt;=$M367)*($M$7:$M$606&gt;=$L367))&gt;0,"⚠ Çakışma","OK")))</f>
        <v/>
      </c>
      <c r="P367" s="32" t="str">
        <f aca="false">IF($A367="","",IF(OR($K367="",$H367="",$L367=""),"",IF(SUMPRODUCT(($A$7:$A$606&lt;&gt;"")*($K$7:$K$606=$K367)*($H$7:$H$606=$H367)*(ROW($A$7:$A$606)&lt;&gt;367)*($L$7:$L$606&lt;=$M367)*($M$7:$M$606&gt;=$L367))&gt;0,"⚠ Çakışma","OK")))</f>
        <v/>
      </c>
      <c r="Q367" s="32" t="str">
        <f aca="false">IF($A367="","",IF(OR($E367="",$H367="",$L367=""),"",IF(SUMPRODUCT(($A$7:$A$606&lt;&gt;"")*($E$7:$E$606=$E367)*($H$7:$H$606=$H367)*(ROW($A$7:$A$606)&lt;&gt;367)*($L$7:$L$606&lt;=$M367)*($M$7:$M$606&gt;=$L367))&gt;0,"⚠ Çakışma","OK")))</f>
        <v/>
      </c>
      <c r="R367" s="32" t="str">
        <f aca="false">IF($A367="","",IF(OR($N367&lt;&gt;"",$O367="⚠ Çakışma",$P367="⚠ Çakışma",$Q367="⚠ Çakışma"),"⚠ Kontrol Et","✓ Uygun"))</f>
        <v/>
      </c>
    </row>
    <row r="368" customFormat="false" ht="13.5" hidden="false" customHeight="true" outlineLevel="0" collapsed="false">
      <c r="A368" s="32" t="str">
        <f aca="false">IF('2-Gastronomi'!A165="","","Gastronomi ve Mutfak Sanatları")</f>
        <v/>
      </c>
      <c r="B368" s="32" t="str">
        <f aca="false">IF($A368="","",IF('2-Gastronomi'!A165="","",'2-Gastronomi'!A165))</f>
        <v/>
      </c>
      <c r="C368" s="33" t="str">
        <f aca="false">IF($A368="","",IF('2-Gastronomi'!B165="","",'2-Gastronomi'!B165))</f>
        <v/>
      </c>
      <c r="D368" s="32" t="str">
        <f aca="false">IF($A368="","",IF('2-Gastronomi'!C165="","",'2-Gastronomi'!C165))</f>
        <v/>
      </c>
      <c r="E368" s="32" t="str">
        <f aca="false">IF($A368="","",$A368&amp;"-"&amp;$D368)</f>
        <v/>
      </c>
      <c r="F368" s="32" t="str">
        <f aca="false">IF($A368="","",IF('2-Gastronomi'!D165="","",'2-Gastronomi'!D165))</f>
        <v/>
      </c>
      <c r="G368" s="32" t="str">
        <f aca="false">IF($A368="","",IF('2-Gastronomi'!E165="","",'2-Gastronomi'!E165))</f>
        <v/>
      </c>
      <c r="H368" s="32" t="str">
        <f aca="false">IF($A368="","",IF('2-Gastronomi'!F165="","",'2-Gastronomi'!F165))</f>
        <v/>
      </c>
      <c r="I368" s="32" t="str">
        <f aca="false">IF($A368="","",IF('2-Gastronomi'!G165="","",'2-Gastronomi'!G165))</f>
        <v/>
      </c>
      <c r="J368" s="32" t="str">
        <f aca="false">IF($A368="","",IF('2-Gastronomi'!H165="","",'2-Gastronomi'!H165))</f>
        <v/>
      </c>
      <c r="K368" s="32" t="str">
        <f aca="false">IF($A368="","",IF('2-Gastronomi'!I165="","",'2-Gastronomi'!I165))</f>
        <v/>
      </c>
      <c r="L368" s="32" t="str">
        <f aca="false">IF($I368="","",MATCH($I368,{"08.00";"09.00";"10.00";"11.00";"12.00";"13.00";"14.00";"15.00";"16.00";"17.00"},0))</f>
        <v/>
      </c>
      <c r="M368" s="32" t="str">
        <f aca="false">IF(OR($L368="",$J368=""),"",$L368+$J368-1)</f>
        <v/>
      </c>
      <c r="N368" s="32" t="str">
        <f aca="false">IF($A368="","",IF(OR($L368="",$M368=""),"",IF($M368&gt;10,"⚠ Saat Taşıyor","")))</f>
        <v/>
      </c>
      <c r="O368" s="32" t="str">
        <f aca="false">IF($A368="","",IF(OR($G368="",$H368="",$L368=""),"",IF(SUMPRODUCT(($A$7:$A$606&lt;&gt;"")*($G$7:$G$606=$G368)*($H$7:$H$606=$H368)*(ROW($A$7:$A$606)&lt;&gt;368)*($L$7:$L$606&lt;=$M368)*($M$7:$M$606&gt;=$L368))&gt;0,"⚠ Çakışma","OK")))</f>
        <v/>
      </c>
      <c r="P368" s="32" t="str">
        <f aca="false">IF($A368="","",IF(OR($K368="",$H368="",$L368=""),"",IF(SUMPRODUCT(($A$7:$A$606&lt;&gt;"")*($K$7:$K$606=$K368)*($H$7:$H$606=$H368)*(ROW($A$7:$A$606)&lt;&gt;368)*($L$7:$L$606&lt;=$M368)*($M$7:$M$606&gt;=$L368))&gt;0,"⚠ Çakışma","OK")))</f>
        <v/>
      </c>
      <c r="Q368" s="32" t="str">
        <f aca="false">IF($A368="","",IF(OR($E368="",$H368="",$L368=""),"",IF(SUMPRODUCT(($A$7:$A$606&lt;&gt;"")*($E$7:$E$606=$E368)*($H$7:$H$606=$H368)*(ROW($A$7:$A$606)&lt;&gt;368)*($L$7:$L$606&lt;=$M368)*($M$7:$M$606&gt;=$L368))&gt;0,"⚠ Çakışma","OK")))</f>
        <v/>
      </c>
      <c r="R368" s="32" t="str">
        <f aca="false">IF($A368="","",IF(OR($N368&lt;&gt;"",$O368="⚠ Çakışma",$P368="⚠ Çakışma",$Q368="⚠ Çakışma"),"⚠ Kontrol Et","✓ Uygun"))</f>
        <v/>
      </c>
    </row>
    <row r="369" customFormat="false" ht="13.5" hidden="false" customHeight="true" outlineLevel="0" collapsed="false">
      <c r="A369" s="32" t="str">
        <f aca="false">IF('2-Gastronomi'!A166="","","Gastronomi ve Mutfak Sanatları")</f>
        <v/>
      </c>
      <c r="B369" s="32" t="str">
        <f aca="false">IF($A369="","",IF('2-Gastronomi'!A166="","",'2-Gastronomi'!A166))</f>
        <v/>
      </c>
      <c r="C369" s="33" t="str">
        <f aca="false">IF($A369="","",IF('2-Gastronomi'!B166="","",'2-Gastronomi'!B166))</f>
        <v/>
      </c>
      <c r="D369" s="32" t="str">
        <f aca="false">IF($A369="","",IF('2-Gastronomi'!C166="","",'2-Gastronomi'!C166))</f>
        <v/>
      </c>
      <c r="E369" s="32" t="str">
        <f aca="false">IF($A369="","",$A369&amp;"-"&amp;$D369)</f>
        <v/>
      </c>
      <c r="F369" s="32" t="str">
        <f aca="false">IF($A369="","",IF('2-Gastronomi'!D166="","",'2-Gastronomi'!D166))</f>
        <v/>
      </c>
      <c r="G369" s="32" t="str">
        <f aca="false">IF($A369="","",IF('2-Gastronomi'!E166="","",'2-Gastronomi'!E166))</f>
        <v/>
      </c>
      <c r="H369" s="32" t="str">
        <f aca="false">IF($A369="","",IF('2-Gastronomi'!F166="","",'2-Gastronomi'!F166))</f>
        <v/>
      </c>
      <c r="I369" s="32" t="str">
        <f aca="false">IF($A369="","",IF('2-Gastronomi'!G166="","",'2-Gastronomi'!G166))</f>
        <v/>
      </c>
      <c r="J369" s="32" t="str">
        <f aca="false">IF($A369="","",IF('2-Gastronomi'!H166="","",'2-Gastronomi'!H166))</f>
        <v/>
      </c>
      <c r="K369" s="32" t="str">
        <f aca="false">IF($A369="","",IF('2-Gastronomi'!I166="","",'2-Gastronomi'!I166))</f>
        <v/>
      </c>
      <c r="L369" s="32" t="str">
        <f aca="false">IF($I369="","",MATCH($I369,{"08.00";"09.00";"10.00";"11.00";"12.00";"13.00";"14.00";"15.00";"16.00";"17.00"},0))</f>
        <v/>
      </c>
      <c r="M369" s="32" t="str">
        <f aca="false">IF(OR($L369="",$J369=""),"",$L369+$J369-1)</f>
        <v/>
      </c>
      <c r="N369" s="32" t="str">
        <f aca="false">IF($A369="","",IF(OR($L369="",$M369=""),"",IF($M369&gt;10,"⚠ Saat Taşıyor","")))</f>
        <v/>
      </c>
      <c r="O369" s="32" t="str">
        <f aca="false">IF($A369="","",IF(OR($G369="",$H369="",$L369=""),"",IF(SUMPRODUCT(($A$7:$A$606&lt;&gt;"")*($G$7:$G$606=$G369)*($H$7:$H$606=$H369)*(ROW($A$7:$A$606)&lt;&gt;369)*($L$7:$L$606&lt;=$M369)*($M$7:$M$606&gt;=$L369))&gt;0,"⚠ Çakışma","OK")))</f>
        <v/>
      </c>
      <c r="P369" s="32" t="str">
        <f aca="false">IF($A369="","",IF(OR($K369="",$H369="",$L369=""),"",IF(SUMPRODUCT(($A$7:$A$606&lt;&gt;"")*($K$7:$K$606=$K369)*($H$7:$H$606=$H369)*(ROW($A$7:$A$606)&lt;&gt;369)*($L$7:$L$606&lt;=$M369)*($M$7:$M$606&gt;=$L369))&gt;0,"⚠ Çakışma","OK")))</f>
        <v/>
      </c>
      <c r="Q369" s="32" t="str">
        <f aca="false">IF($A369="","",IF(OR($E369="",$H369="",$L369=""),"",IF(SUMPRODUCT(($A$7:$A$606&lt;&gt;"")*($E$7:$E$606=$E369)*($H$7:$H$606=$H369)*(ROW($A$7:$A$606)&lt;&gt;369)*($L$7:$L$606&lt;=$M369)*($M$7:$M$606&gt;=$L369))&gt;0,"⚠ Çakışma","OK")))</f>
        <v/>
      </c>
      <c r="R369" s="32" t="str">
        <f aca="false">IF($A369="","",IF(OR($N369&lt;&gt;"",$O369="⚠ Çakışma",$P369="⚠ Çakışma",$Q369="⚠ Çakışma"),"⚠ Kontrol Et","✓ Uygun"))</f>
        <v/>
      </c>
    </row>
    <row r="370" customFormat="false" ht="13.5" hidden="false" customHeight="true" outlineLevel="0" collapsed="false">
      <c r="A370" s="32" t="str">
        <f aca="false">IF('2-Gastronomi'!A167="","","Gastronomi ve Mutfak Sanatları")</f>
        <v/>
      </c>
      <c r="B370" s="32" t="str">
        <f aca="false">IF($A370="","",IF('2-Gastronomi'!A167="","",'2-Gastronomi'!A167))</f>
        <v/>
      </c>
      <c r="C370" s="33" t="str">
        <f aca="false">IF($A370="","",IF('2-Gastronomi'!B167="","",'2-Gastronomi'!B167))</f>
        <v/>
      </c>
      <c r="D370" s="32" t="str">
        <f aca="false">IF($A370="","",IF('2-Gastronomi'!C167="","",'2-Gastronomi'!C167))</f>
        <v/>
      </c>
      <c r="E370" s="32" t="str">
        <f aca="false">IF($A370="","",$A370&amp;"-"&amp;$D370)</f>
        <v/>
      </c>
      <c r="F370" s="32" t="str">
        <f aca="false">IF($A370="","",IF('2-Gastronomi'!D167="","",'2-Gastronomi'!D167))</f>
        <v/>
      </c>
      <c r="G370" s="32" t="str">
        <f aca="false">IF($A370="","",IF('2-Gastronomi'!E167="","",'2-Gastronomi'!E167))</f>
        <v/>
      </c>
      <c r="H370" s="32" t="str">
        <f aca="false">IF($A370="","",IF('2-Gastronomi'!F167="","",'2-Gastronomi'!F167))</f>
        <v/>
      </c>
      <c r="I370" s="32" t="str">
        <f aca="false">IF($A370="","",IF('2-Gastronomi'!G167="","",'2-Gastronomi'!G167))</f>
        <v/>
      </c>
      <c r="J370" s="32" t="str">
        <f aca="false">IF($A370="","",IF('2-Gastronomi'!H167="","",'2-Gastronomi'!H167))</f>
        <v/>
      </c>
      <c r="K370" s="32" t="str">
        <f aca="false">IF($A370="","",IF('2-Gastronomi'!I167="","",'2-Gastronomi'!I167))</f>
        <v/>
      </c>
      <c r="L370" s="32" t="str">
        <f aca="false">IF($I370="","",MATCH($I370,{"08.00";"09.00";"10.00";"11.00";"12.00";"13.00";"14.00";"15.00";"16.00";"17.00"},0))</f>
        <v/>
      </c>
      <c r="M370" s="32" t="str">
        <f aca="false">IF(OR($L370="",$J370=""),"",$L370+$J370-1)</f>
        <v/>
      </c>
      <c r="N370" s="32" t="str">
        <f aca="false">IF($A370="","",IF(OR($L370="",$M370=""),"",IF($M370&gt;10,"⚠ Saat Taşıyor","")))</f>
        <v/>
      </c>
      <c r="O370" s="32" t="str">
        <f aca="false">IF($A370="","",IF(OR($G370="",$H370="",$L370=""),"",IF(SUMPRODUCT(($A$7:$A$606&lt;&gt;"")*($G$7:$G$606=$G370)*($H$7:$H$606=$H370)*(ROW($A$7:$A$606)&lt;&gt;370)*($L$7:$L$606&lt;=$M370)*($M$7:$M$606&gt;=$L370))&gt;0,"⚠ Çakışma","OK")))</f>
        <v/>
      </c>
      <c r="P370" s="32" t="str">
        <f aca="false">IF($A370="","",IF(OR($K370="",$H370="",$L370=""),"",IF(SUMPRODUCT(($A$7:$A$606&lt;&gt;"")*($K$7:$K$606=$K370)*($H$7:$H$606=$H370)*(ROW($A$7:$A$606)&lt;&gt;370)*($L$7:$L$606&lt;=$M370)*($M$7:$M$606&gt;=$L370))&gt;0,"⚠ Çakışma","OK")))</f>
        <v/>
      </c>
      <c r="Q370" s="32" t="str">
        <f aca="false">IF($A370="","",IF(OR($E370="",$H370="",$L370=""),"",IF(SUMPRODUCT(($A$7:$A$606&lt;&gt;"")*($E$7:$E$606=$E370)*($H$7:$H$606=$H370)*(ROW($A$7:$A$606)&lt;&gt;370)*($L$7:$L$606&lt;=$M370)*($M$7:$M$606&gt;=$L370))&gt;0,"⚠ Çakışma","OK")))</f>
        <v/>
      </c>
      <c r="R370" s="32" t="str">
        <f aca="false">IF($A370="","",IF(OR($N370&lt;&gt;"",$O370="⚠ Çakışma",$P370="⚠ Çakışma",$Q370="⚠ Çakışma"),"⚠ Kontrol Et","✓ Uygun"))</f>
        <v/>
      </c>
    </row>
    <row r="371" customFormat="false" ht="13.5" hidden="false" customHeight="true" outlineLevel="0" collapsed="false">
      <c r="A371" s="32" t="str">
        <f aca="false">IF('2-Gastronomi'!A168="","","Gastronomi ve Mutfak Sanatları")</f>
        <v/>
      </c>
      <c r="B371" s="32" t="str">
        <f aca="false">IF($A371="","",IF('2-Gastronomi'!A168="","",'2-Gastronomi'!A168))</f>
        <v/>
      </c>
      <c r="C371" s="33" t="str">
        <f aca="false">IF($A371="","",IF('2-Gastronomi'!B168="","",'2-Gastronomi'!B168))</f>
        <v/>
      </c>
      <c r="D371" s="32" t="str">
        <f aca="false">IF($A371="","",IF('2-Gastronomi'!C168="","",'2-Gastronomi'!C168))</f>
        <v/>
      </c>
      <c r="E371" s="32" t="str">
        <f aca="false">IF($A371="","",$A371&amp;"-"&amp;$D371)</f>
        <v/>
      </c>
      <c r="F371" s="32" t="str">
        <f aca="false">IF($A371="","",IF('2-Gastronomi'!D168="","",'2-Gastronomi'!D168))</f>
        <v/>
      </c>
      <c r="G371" s="32" t="str">
        <f aca="false">IF($A371="","",IF('2-Gastronomi'!E168="","",'2-Gastronomi'!E168))</f>
        <v/>
      </c>
      <c r="H371" s="32" t="str">
        <f aca="false">IF($A371="","",IF('2-Gastronomi'!F168="","",'2-Gastronomi'!F168))</f>
        <v/>
      </c>
      <c r="I371" s="32" t="str">
        <f aca="false">IF($A371="","",IF('2-Gastronomi'!G168="","",'2-Gastronomi'!G168))</f>
        <v/>
      </c>
      <c r="J371" s="32" t="str">
        <f aca="false">IF($A371="","",IF('2-Gastronomi'!H168="","",'2-Gastronomi'!H168))</f>
        <v/>
      </c>
      <c r="K371" s="32" t="str">
        <f aca="false">IF($A371="","",IF('2-Gastronomi'!I168="","",'2-Gastronomi'!I168))</f>
        <v/>
      </c>
      <c r="L371" s="32" t="str">
        <f aca="false">IF($I371="","",MATCH($I371,{"08.00";"09.00";"10.00";"11.00";"12.00";"13.00";"14.00";"15.00";"16.00";"17.00"},0))</f>
        <v/>
      </c>
      <c r="M371" s="32" t="str">
        <f aca="false">IF(OR($L371="",$J371=""),"",$L371+$J371-1)</f>
        <v/>
      </c>
      <c r="N371" s="32" t="str">
        <f aca="false">IF($A371="","",IF(OR($L371="",$M371=""),"",IF($M371&gt;10,"⚠ Saat Taşıyor","")))</f>
        <v/>
      </c>
      <c r="O371" s="32" t="str">
        <f aca="false">IF($A371="","",IF(OR($G371="",$H371="",$L371=""),"",IF(SUMPRODUCT(($A$7:$A$606&lt;&gt;"")*($G$7:$G$606=$G371)*($H$7:$H$606=$H371)*(ROW($A$7:$A$606)&lt;&gt;371)*($L$7:$L$606&lt;=$M371)*($M$7:$M$606&gt;=$L371))&gt;0,"⚠ Çakışma","OK")))</f>
        <v/>
      </c>
      <c r="P371" s="32" t="str">
        <f aca="false">IF($A371="","",IF(OR($K371="",$H371="",$L371=""),"",IF(SUMPRODUCT(($A$7:$A$606&lt;&gt;"")*($K$7:$K$606=$K371)*($H$7:$H$606=$H371)*(ROW($A$7:$A$606)&lt;&gt;371)*($L$7:$L$606&lt;=$M371)*($M$7:$M$606&gt;=$L371))&gt;0,"⚠ Çakışma","OK")))</f>
        <v/>
      </c>
      <c r="Q371" s="32" t="str">
        <f aca="false">IF($A371="","",IF(OR($E371="",$H371="",$L371=""),"",IF(SUMPRODUCT(($A$7:$A$606&lt;&gt;"")*($E$7:$E$606=$E371)*($H$7:$H$606=$H371)*(ROW($A$7:$A$606)&lt;&gt;371)*($L$7:$L$606&lt;=$M371)*($M$7:$M$606&gt;=$L371))&gt;0,"⚠ Çakışma","OK")))</f>
        <v/>
      </c>
      <c r="R371" s="32" t="str">
        <f aca="false">IF($A371="","",IF(OR($N371&lt;&gt;"",$O371="⚠ Çakışma",$P371="⚠ Çakışma",$Q371="⚠ Çakışma"),"⚠ Kontrol Et","✓ Uygun"))</f>
        <v/>
      </c>
    </row>
    <row r="372" customFormat="false" ht="13.5" hidden="false" customHeight="true" outlineLevel="0" collapsed="false">
      <c r="A372" s="32" t="str">
        <f aca="false">IF('2-Gastronomi'!A169="","","Gastronomi ve Mutfak Sanatları")</f>
        <v/>
      </c>
      <c r="B372" s="32" t="str">
        <f aca="false">IF($A372="","",IF('2-Gastronomi'!A169="","",'2-Gastronomi'!A169))</f>
        <v/>
      </c>
      <c r="C372" s="33" t="str">
        <f aca="false">IF($A372="","",IF('2-Gastronomi'!B169="","",'2-Gastronomi'!B169))</f>
        <v/>
      </c>
      <c r="D372" s="32" t="str">
        <f aca="false">IF($A372="","",IF('2-Gastronomi'!C169="","",'2-Gastronomi'!C169))</f>
        <v/>
      </c>
      <c r="E372" s="32" t="str">
        <f aca="false">IF($A372="","",$A372&amp;"-"&amp;$D372)</f>
        <v/>
      </c>
      <c r="F372" s="32" t="str">
        <f aca="false">IF($A372="","",IF('2-Gastronomi'!D169="","",'2-Gastronomi'!D169))</f>
        <v/>
      </c>
      <c r="G372" s="32" t="str">
        <f aca="false">IF($A372="","",IF('2-Gastronomi'!E169="","",'2-Gastronomi'!E169))</f>
        <v/>
      </c>
      <c r="H372" s="32" t="str">
        <f aca="false">IF($A372="","",IF('2-Gastronomi'!F169="","",'2-Gastronomi'!F169))</f>
        <v/>
      </c>
      <c r="I372" s="32" t="str">
        <f aca="false">IF($A372="","",IF('2-Gastronomi'!G169="","",'2-Gastronomi'!G169))</f>
        <v/>
      </c>
      <c r="J372" s="32" t="str">
        <f aca="false">IF($A372="","",IF('2-Gastronomi'!H169="","",'2-Gastronomi'!H169))</f>
        <v/>
      </c>
      <c r="K372" s="32" t="str">
        <f aca="false">IF($A372="","",IF('2-Gastronomi'!I169="","",'2-Gastronomi'!I169))</f>
        <v/>
      </c>
      <c r="L372" s="32" t="str">
        <f aca="false">IF($I372="","",MATCH($I372,{"08.00";"09.00";"10.00";"11.00";"12.00";"13.00";"14.00";"15.00";"16.00";"17.00"},0))</f>
        <v/>
      </c>
      <c r="M372" s="32" t="str">
        <f aca="false">IF(OR($L372="",$J372=""),"",$L372+$J372-1)</f>
        <v/>
      </c>
      <c r="N372" s="32" t="str">
        <f aca="false">IF($A372="","",IF(OR($L372="",$M372=""),"",IF($M372&gt;10,"⚠ Saat Taşıyor","")))</f>
        <v/>
      </c>
      <c r="O372" s="32" t="str">
        <f aca="false">IF($A372="","",IF(OR($G372="",$H372="",$L372=""),"",IF(SUMPRODUCT(($A$7:$A$606&lt;&gt;"")*($G$7:$G$606=$G372)*($H$7:$H$606=$H372)*(ROW($A$7:$A$606)&lt;&gt;372)*($L$7:$L$606&lt;=$M372)*($M$7:$M$606&gt;=$L372))&gt;0,"⚠ Çakışma","OK")))</f>
        <v/>
      </c>
      <c r="P372" s="32" t="str">
        <f aca="false">IF($A372="","",IF(OR($K372="",$H372="",$L372=""),"",IF(SUMPRODUCT(($A$7:$A$606&lt;&gt;"")*($K$7:$K$606=$K372)*($H$7:$H$606=$H372)*(ROW($A$7:$A$606)&lt;&gt;372)*($L$7:$L$606&lt;=$M372)*($M$7:$M$606&gt;=$L372))&gt;0,"⚠ Çakışma","OK")))</f>
        <v/>
      </c>
      <c r="Q372" s="32" t="str">
        <f aca="false">IF($A372="","",IF(OR($E372="",$H372="",$L372=""),"",IF(SUMPRODUCT(($A$7:$A$606&lt;&gt;"")*($E$7:$E$606=$E372)*($H$7:$H$606=$H372)*(ROW($A$7:$A$606)&lt;&gt;372)*($L$7:$L$606&lt;=$M372)*($M$7:$M$606&gt;=$L372))&gt;0,"⚠ Çakışma","OK")))</f>
        <v/>
      </c>
      <c r="R372" s="32" t="str">
        <f aca="false">IF($A372="","",IF(OR($N372&lt;&gt;"",$O372="⚠ Çakışma",$P372="⚠ Çakışma",$Q372="⚠ Çakışma"),"⚠ Kontrol Et","✓ Uygun"))</f>
        <v/>
      </c>
    </row>
    <row r="373" customFormat="false" ht="13.5" hidden="false" customHeight="true" outlineLevel="0" collapsed="false">
      <c r="A373" s="32" t="str">
        <f aca="false">IF('2-Gastronomi'!A170="","","Gastronomi ve Mutfak Sanatları")</f>
        <v/>
      </c>
      <c r="B373" s="32" t="str">
        <f aca="false">IF($A373="","",IF('2-Gastronomi'!A170="","",'2-Gastronomi'!A170))</f>
        <v/>
      </c>
      <c r="C373" s="33" t="str">
        <f aca="false">IF($A373="","",IF('2-Gastronomi'!B170="","",'2-Gastronomi'!B170))</f>
        <v/>
      </c>
      <c r="D373" s="32" t="str">
        <f aca="false">IF($A373="","",IF('2-Gastronomi'!C170="","",'2-Gastronomi'!C170))</f>
        <v/>
      </c>
      <c r="E373" s="32" t="str">
        <f aca="false">IF($A373="","",$A373&amp;"-"&amp;$D373)</f>
        <v/>
      </c>
      <c r="F373" s="32" t="str">
        <f aca="false">IF($A373="","",IF('2-Gastronomi'!D170="","",'2-Gastronomi'!D170))</f>
        <v/>
      </c>
      <c r="G373" s="32" t="str">
        <f aca="false">IF($A373="","",IF('2-Gastronomi'!E170="","",'2-Gastronomi'!E170))</f>
        <v/>
      </c>
      <c r="H373" s="32" t="str">
        <f aca="false">IF($A373="","",IF('2-Gastronomi'!F170="","",'2-Gastronomi'!F170))</f>
        <v/>
      </c>
      <c r="I373" s="32" t="str">
        <f aca="false">IF($A373="","",IF('2-Gastronomi'!G170="","",'2-Gastronomi'!G170))</f>
        <v/>
      </c>
      <c r="J373" s="32" t="str">
        <f aca="false">IF($A373="","",IF('2-Gastronomi'!H170="","",'2-Gastronomi'!H170))</f>
        <v/>
      </c>
      <c r="K373" s="32" t="str">
        <f aca="false">IF($A373="","",IF('2-Gastronomi'!I170="","",'2-Gastronomi'!I170))</f>
        <v/>
      </c>
      <c r="L373" s="32" t="str">
        <f aca="false">IF($I373="","",MATCH($I373,{"08.00";"09.00";"10.00";"11.00";"12.00";"13.00";"14.00";"15.00";"16.00";"17.00"},0))</f>
        <v/>
      </c>
      <c r="M373" s="32" t="str">
        <f aca="false">IF(OR($L373="",$J373=""),"",$L373+$J373-1)</f>
        <v/>
      </c>
      <c r="N373" s="32" t="str">
        <f aca="false">IF($A373="","",IF(OR($L373="",$M373=""),"",IF($M373&gt;10,"⚠ Saat Taşıyor","")))</f>
        <v/>
      </c>
      <c r="O373" s="32" t="str">
        <f aca="false">IF($A373="","",IF(OR($G373="",$H373="",$L373=""),"",IF(SUMPRODUCT(($A$7:$A$606&lt;&gt;"")*($G$7:$G$606=$G373)*($H$7:$H$606=$H373)*(ROW($A$7:$A$606)&lt;&gt;373)*($L$7:$L$606&lt;=$M373)*($M$7:$M$606&gt;=$L373))&gt;0,"⚠ Çakışma","OK")))</f>
        <v/>
      </c>
      <c r="P373" s="32" t="str">
        <f aca="false">IF($A373="","",IF(OR($K373="",$H373="",$L373=""),"",IF(SUMPRODUCT(($A$7:$A$606&lt;&gt;"")*($K$7:$K$606=$K373)*($H$7:$H$606=$H373)*(ROW($A$7:$A$606)&lt;&gt;373)*($L$7:$L$606&lt;=$M373)*($M$7:$M$606&gt;=$L373))&gt;0,"⚠ Çakışma","OK")))</f>
        <v/>
      </c>
      <c r="Q373" s="32" t="str">
        <f aca="false">IF($A373="","",IF(OR($E373="",$H373="",$L373=""),"",IF(SUMPRODUCT(($A$7:$A$606&lt;&gt;"")*($E$7:$E$606=$E373)*($H$7:$H$606=$H373)*(ROW($A$7:$A$606)&lt;&gt;373)*($L$7:$L$606&lt;=$M373)*($M$7:$M$606&gt;=$L373))&gt;0,"⚠ Çakışma","OK")))</f>
        <v/>
      </c>
      <c r="R373" s="32" t="str">
        <f aca="false">IF($A373="","",IF(OR($N373&lt;&gt;"",$O373="⚠ Çakışma",$P373="⚠ Çakışma",$Q373="⚠ Çakışma"),"⚠ Kontrol Et","✓ Uygun"))</f>
        <v/>
      </c>
    </row>
    <row r="374" customFormat="false" ht="13.5" hidden="false" customHeight="true" outlineLevel="0" collapsed="false">
      <c r="A374" s="32" t="str">
        <f aca="false">IF('2-Gastronomi'!A171="","","Gastronomi ve Mutfak Sanatları")</f>
        <v/>
      </c>
      <c r="B374" s="32" t="str">
        <f aca="false">IF($A374="","",IF('2-Gastronomi'!A171="","",'2-Gastronomi'!A171))</f>
        <v/>
      </c>
      <c r="C374" s="33" t="str">
        <f aca="false">IF($A374="","",IF('2-Gastronomi'!B171="","",'2-Gastronomi'!B171))</f>
        <v/>
      </c>
      <c r="D374" s="32" t="str">
        <f aca="false">IF($A374="","",IF('2-Gastronomi'!C171="","",'2-Gastronomi'!C171))</f>
        <v/>
      </c>
      <c r="E374" s="32" t="str">
        <f aca="false">IF($A374="","",$A374&amp;"-"&amp;$D374)</f>
        <v/>
      </c>
      <c r="F374" s="32" t="str">
        <f aca="false">IF($A374="","",IF('2-Gastronomi'!D171="","",'2-Gastronomi'!D171))</f>
        <v/>
      </c>
      <c r="G374" s="32" t="str">
        <f aca="false">IF($A374="","",IF('2-Gastronomi'!E171="","",'2-Gastronomi'!E171))</f>
        <v/>
      </c>
      <c r="H374" s="32" t="str">
        <f aca="false">IF($A374="","",IF('2-Gastronomi'!F171="","",'2-Gastronomi'!F171))</f>
        <v/>
      </c>
      <c r="I374" s="32" t="str">
        <f aca="false">IF($A374="","",IF('2-Gastronomi'!G171="","",'2-Gastronomi'!G171))</f>
        <v/>
      </c>
      <c r="J374" s="32" t="str">
        <f aca="false">IF($A374="","",IF('2-Gastronomi'!H171="","",'2-Gastronomi'!H171))</f>
        <v/>
      </c>
      <c r="K374" s="32" t="str">
        <f aca="false">IF($A374="","",IF('2-Gastronomi'!I171="","",'2-Gastronomi'!I171))</f>
        <v/>
      </c>
      <c r="L374" s="32" t="str">
        <f aca="false">IF($I374="","",MATCH($I374,{"08.00";"09.00";"10.00";"11.00";"12.00";"13.00";"14.00";"15.00";"16.00";"17.00"},0))</f>
        <v/>
      </c>
      <c r="M374" s="32" t="str">
        <f aca="false">IF(OR($L374="",$J374=""),"",$L374+$J374-1)</f>
        <v/>
      </c>
      <c r="N374" s="32" t="str">
        <f aca="false">IF($A374="","",IF(OR($L374="",$M374=""),"",IF($M374&gt;10,"⚠ Saat Taşıyor","")))</f>
        <v/>
      </c>
      <c r="O374" s="32" t="str">
        <f aca="false">IF($A374="","",IF(OR($G374="",$H374="",$L374=""),"",IF(SUMPRODUCT(($A$7:$A$606&lt;&gt;"")*($G$7:$G$606=$G374)*($H$7:$H$606=$H374)*(ROW($A$7:$A$606)&lt;&gt;374)*($L$7:$L$606&lt;=$M374)*($M$7:$M$606&gt;=$L374))&gt;0,"⚠ Çakışma","OK")))</f>
        <v/>
      </c>
      <c r="P374" s="32" t="str">
        <f aca="false">IF($A374="","",IF(OR($K374="",$H374="",$L374=""),"",IF(SUMPRODUCT(($A$7:$A$606&lt;&gt;"")*($K$7:$K$606=$K374)*($H$7:$H$606=$H374)*(ROW($A$7:$A$606)&lt;&gt;374)*($L$7:$L$606&lt;=$M374)*($M$7:$M$606&gt;=$L374))&gt;0,"⚠ Çakışma","OK")))</f>
        <v/>
      </c>
      <c r="Q374" s="32" t="str">
        <f aca="false">IF($A374="","",IF(OR($E374="",$H374="",$L374=""),"",IF(SUMPRODUCT(($A$7:$A$606&lt;&gt;"")*($E$7:$E$606=$E374)*($H$7:$H$606=$H374)*(ROW($A$7:$A$606)&lt;&gt;374)*($L$7:$L$606&lt;=$M374)*($M$7:$M$606&gt;=$L374))&gt;0,"⚠ Çakışma","OK")))</f>
        <v/>
      </c>
      <c r="R374" s="32" t="str">
        <f aca="false">IF($A374="","",IF(OR($N374&lt;&gt;"",$O374="⚠ Çakışma",$P374="⚠ Çakışma",$Q374="⚠ Çakışma"),"⚠ Kontrol Et","✓ Uygun"))</f>
        <v/>
      </c>
    </row>
    <row r="375" customFormat="false" ht="13.5" hidden="false" customHeight="true" outlineLevel="0" collapsed="false">
      <c r="A375" s="32" t="str">
        <f aca="false">IF('2-Gastronomi'!A172="","","Gastronomi ve Mutfak Sanatları")</f>
        <v/>
      </c>
      <c r="B375" s="32" t="str">
        <f aca="false">IF($A375="","",IF('2-Gastronomi'!A172="","",'2-Gastronomi'!A172))</f>
        <v/>
      </c>
      <c r="C375" s="33" t="str">
        <f aca="false">IF($A375="","",IF('2-Gastronomi'!B172="","",'2-Gastronomi'!B172))</f>
        <v/>
      </c>
      <c r="D375" s="32" t="str">
        <f aca="false">IF($A375="","",IF('2-Gastronomi'!C172="","",'2-Gastronomi'!C172))</f>
        <v/>
      </c>
      <c r="E375" s="32" t="str">
        <f aca="false">IF($A375="","",$A375&amp;"-"&amp;$D375)</f>
        <v/>
      </c>
      <c r="F375" s="32" t="str">
        <f aca="false">IF($A375="","",IF('2-Gastronomi'!D172="","",'2-Gastronomi'!D172))</f>
        <v/>
      </c>
      <c r="G375" s="32" t="str">
        <f aca="false">IF($A375="","",IF('2-Gastronomi'!E172="","",'2-Gastronomi'!E172))</f>
        <v/>
      </c>
      <c r="H375" s="32" t="str">
        <f aca="false">IF($A375="","",IF('2-Gastronomi'!F172="","",'2-Gastronomi'!F172))</f>
        <v/>
      </c>
      <c r="I375" s="32" t="str">
        <f aca="false">IF($A375="","",IF('2-Gastronomi'!G172="","",'2-Gastronomi'!G172))</f>
        <v/>
      </c>
      <c r="J375" s="32" t="str">
        <f aca="false">IF($A375="","",IF('2-Gastronomi'!H172="","",'2-Gastronomi'!H172))</f>
        <v/>
      </c>
      <c r="K375" s="32" t="str">
        <f aca="false">IF($A375="","",IF('2-Gastronomi'!I172="","",'2-Gastronomi'!I172))</f>
        <v/>
      </c>
      <c r="L375" s="32" t="str">
        <f aca="false">IF($I375="","",MATCH($I375,{"08.00";"09.00";"10.00";"11.00";"12.00";"13.00";"14.00";"15.00";"16.00";"17.00"},0))</f>
        <v/>
      </c>
      <c r="M375" s="32" t="str">
        <f aca="false">IF(OR($L375="",$J375=""),"",$L375+$J375-1)</f>
        <v/>
      </c>
      <c r="N375" s="32" t="str">
        <f aca="false">IF($A375="","",IF(OR($L375="",$M375=""),"",IF($M375&gt;10,"⚠ Saat Taşıyor","")))</f>
        <v/>
      </c>
      <c r="O375" s="32" t="str">
        <f aca="false">IF($A375="","",IF(OR($G375="",$H375="",$L375=""),"",IF(SUMPRODUCT(($A$7:$A$606&lt;&gt;"")*($G$7:$G$606=$G375)*($H$7:$H$606=$H375)*(ROW($A$7:$A$606)&lt;&gt;375)*($L$7:$L$606&lt;=$M375)*($M$7:$M$606&gt;=$L375))&gt;0,"⚠ Çakışma","OK")))</f>
        <v/>
      </c>
      <c r="P375" s="32" t="str">
        <f aca="false">IF($A375="","",IF(OR($K375="",$H375="",$L375=""),"",IF(SUMPRODUCT(($A$7:$A$606&lt;&gt;"")*($K$7:$K$606=$K375)*($H$7:$H$606=$H375)*(ROW($A$7:$A$606)&lt;&gt;375)*($L$7:$L$606&lt;=$M375)*($M$7:$M$606&gt;=$L375))&gt;0,"⚠ Çakışma","OK")))</f>
        <v/>
      </c>
      <c r="Q375" s="32" t="str">
        <f aca="false">IF($A375="","",IF(OR($E375="",$H375="",$L375=""),"",IF(SUMPRODUCT(($A$7:$A$606&lt;&gt;"")*($E$7:$E$606=$E375)*($H$7:$H$606=$H375)*(ROW($A$7:$A$606)&lt;&gt;375)*($L$7:$L$606&lt;=$M375)*($M$7:$M$606&gt;=$L375))&gt;0,"⚠ Çakışma","OK")))</f>
        <v/>
      </c>
      <c r="R375" s="32" t="str">
        <f aca="false">IF($A375="","",IF(OR($N375&lt;&gt;"",$O375="⚠ Çakışma",$P375="⚠ Çakışma",$Q375="⚠ Çakışma"),"⚠ Kontrol Et","✓ Uygun"))</f>
        <v/>
      </c>
    </row>
    <row r="376" customFormat="false" ht="13.5" hidden="false" customHeight="true" outlineLevel="0" collapsed="false">
      <c r="A376" s="32" t="str">
        <f aca="false">IF('2-Gastronomi'!A173="","","Gastronomi ve Mutfak Sanatları")</f>
        <v/>
      </c>
      <c r="B376" s="32" t="str">
        <f aca="false">IF($A376="","",IF('2-Gastronomi'!A173="","",'2-Gastronomi'!A173))</f>
        <v/>
      </c>
      <c r="C376" s="33" t="str">
        <f aca="false">IF($A376="","",IF('2-Gastronomi'!B173="","",'2-Gastronomi'!B173))</f>
        <v/>
      </c>
      <c r="D376" s="32" t="str">
        <f aca="false">IF($A376="","",IF('2-Gastronomi'!C173="","",'2-Gastronomi'!C173))</f>
        <v/>
      </c>
      <c r="E376" s="32" t="str">
        <f aca="false">IF($A376="","",$A376&amp;"-"&amp;$D376)</f>
        <v/>
      </c>
      <c r="F376" s="32" t="str">
        <f aca="false">IF($A376="","",IF('2-Gastronomi'!D173="","",'2-Gastronomi'!D173))</f>
        <v/>
      </c>
      <c r="G376" s="32" t="str">
        <f aca="false">IF($A376="","",IF('2-Gastronomi'!E173="","",'2-Gastronomi'!E173))</f>
        <v/>
      </c>
      <c r="H376" s="32" t="str">
        <f aca="false">IF($A376="","",IF('2-Gastronomi'!F173="","",'2-Gastronomi'!F173))</f>
        <v/>
      </c>
      <c r="I376" s="32" t="str">
        <f aca="false">IF($A376="","",IF('2-Gastronomi'!G173="","",'2-Gastronomi'!G173))</f>
        <v/>
      </c>
      <c r="J376" s="32" t="str">
        <f aca="false">IF($A376="","",IF('2-Gastronomi'!H173="","",'2-Gastronomi'!H173))</f>
        <v/>
      </c>
      <c r="K376" s="32" t="str">
        <f aca="false">IF($A376="","",IF('2-Gastronomi'!I173="","",'2-Gastronomi'!I173))</f>
        <v/>
      </c>
      <c r="L376" s="32" t="str">
        <f aca="false">IF($I376="","",MATCH($I376,{"08.00";"09.00";"10.00";"11.00";"12.00";"13.00";"14.00";"15.00";"16.00";"17.00"},0))</f>
        <v/>
      </c>
      <c r="M376" s="32" t="str">
        <f aca="false">IF(OR($L376="",$J376=""),"",$L376+$J376-1)</f>
        <v/>
      </c>
      <c r="N376" s="32" t="str">
        <f aca="false">IF($A376="","",IF(OR($L376="",$M376=""),"",IF($M376&gt;10,"⚠ Saat Taşıyor","")))</f>
        <v/>
      </c>
      <c r="O376" s="32" t="str">
        <f aca="false">IF($A376="","",IF(OR($G376="",$H376="",$L376=""),"",IF(SUMPRODUCT(($A$7:$A$606&lt;&gt;"")*($G$7:$G$606=$G376)*($H$7:$H$606=$H376)*(ROW($A$7:$A$606)&lt;&gt;376)*($L$7:$L$606&lt;=$M376)*($M$7:$M$606&gt;=$L376))&gt;0,"⚠ Çakışma","OK")))</f>
        <v/>
      </c>
      <c r="P376" s="32" t="str">
        <f aca="false">IF($A376="","",IF(OR($K376="",$H376="",$L376=""),"",IF(SUMPRODUCT(($A$7:$A$606&lt;&gt;"")*($K$7:$K$606=$K376)*($H$7:$H$606=$H376)*(ROW($A$7:$A$606)&lt;&gt;376)*($L$7:$L$606&lt;=$M376)*($M$7:$M$606&gt;=$L376))&gt;0,"⚠ Çakışma","OK")))</f>
        <v/>
      </c>
      <c r="Q376" s="32" t="str">
        <f aca="false">IF($A376="","",IF(OR($E376="",$H376="",$L376=""),"",IF(SUMPRODUCT(($A$7:$A$606&lt;&gt;"")*($E$7:$E$606=$E376)*($H$7:$H$606=$H376)*(ROW($A$7:$A$606)&lt;&gt;376)*($L$7:$L$606&lt;=$M376)*($M$7:$M$606&gt;=$L376))&gt;0,"⚠ Çakışma","OK")))</f>
        <v/>
      </c>
      <c r="R376" s="32" t="str">
        <f aca="false">IF($A376="","",IF(OR($N376&lt;&gt;"",$O376="⚠ Çakışma",$P376="⚠ Çakışma",$Q376="⚠ Çakışma"),"⚠ Kontrol Et","✓ Uygun"))</f>
        <v/>
      </c>
    </row>
    <row r="377" customFormat="false" ht="13.5" hidden="false" customHeight="true" outlineLevel="0" collapsed="false">
      <c r="A377" s="32" t="str">
        <f aca="false">IF('2-Gastronomi'!A174="","","Gastronomi ve Mutfak Sanatları")</f>
        <v/>
      </c>
      <c r="B377" s="32" t="str">
        <f aca="false">IF($A377="","",IF('2-Gastronomi'!A174="","",'2-Gastronomi'!A174))</f>
        <v/>
      </c>
      <c r="C377" s="33" t="str">
        <f aca="false">IF($A377="","",IF('2-Gastronomi'!B174="","",'2-Gastronomi'!B174))</f>
        <v/>
      </c>
      <c r="D377" s="32" t="str">
        <f aca="false">IF($A377="","",IF('2-Gastronomi'!C174="","",'2-Gastronomi'!C174))</f>
        <v/>
      </c>
      <c r="E377" s="32" t="str">
        <f aca="false">IF($A377="","",$A377&amp;"-"&amp;$D377)</f>
        <v/>
      </c>
      <c r="F377" s="32" t="str">
        <f aca="false">IF($A377="","",IF('2-Gastronomi'!D174="","",'2-Gastronomi'!D174))</f>
        <v/>
      </c>
      <c r="G377" s="32" t="str">
        <f aca="false">IF($A377="","",IF('2-Gastronomi'!E174="","",'2-Gastronomi'!E174))</f>
        <v/>
      </c>
      <c r="H377" s="32" t="str">
        <f aca="false">IF($A377="","",IF('2-Gastronomi'!F174="","",'2-Gastronomi'!F174))</f>
        <v/>
      </c>
      <c r="I377" s="32" t="str">
        <f aca="false">IF($A377="","",IF('2-Gastronomi'!G174="","",'2-Gastronomi'!G174))</f>
        <v/>
      </c>
      <c r="J377" s="32" t="str">
        <f aca="false">IF($A377="","",IF('2-Gastronomi'!H174="","",'2-Gastronomi'!H174))</f>
        <v/>
      </c>
      <c r="K377" s="32" t="str">
        <f aca="false">IF($A377="","",IF('2-Gastronomi'!I174="","",'2-Gastronomi'!I174))</f>
        <v/>
      </c>
      <c r="L377" s="32" t="str">
        <f aca="false">IF($I377="","",MATCH($I377,{"08.00";"09.00";"10.00";"11.00";"12.00";"13.00";"14.00";"15.00";"16.00";"17.00"},0))</f>
        <v/>
      </c>
      <c r="M377" s="32" t="str">
        <f aca="false">IF(OR($L377="",$J377=""),"",$L377+$J377-1)</f>
        <v/>
      </c>
      <c r="N377" s="32" t="str">
        <f aca="false">IF($A377="","",IF(OR($L377="",$M377=""),"",IF($M377&gt;10,"⚠ Saat Taşıyor","")))</f>
        <v/>
      </c>
      <c r="O377" s="32" t="str">
        <f aca="false">IF($A377="","",IF(OR($G377="",$H377="",$L377=""),"",IF(SUMPRODUCT(($A$7:$A$606&lt;&gt;"")*($G$7:$G$606=$G377)*($H$7:$H$606=$H377)*(ROW($A$7:$A$606)&lt;&gt;377)*($L$7:$L$606&lt;=$M377)*($M$7:$M$606&gt;=$L377))&gt;0,"⚠ Çakışma","OK")))</f>
        <v/>
      </c>
      <c r="P377" s="32" t="str">
        <f aca="false">IF($A377="","",IF(OR($K377="",$H377="",$L377=""),"",IF(SUMPRODUCT(($A$7:$A$606&lt;&gt;"")*($K$7:$K$606=$K377)*($H$7:$H$606=$H377)*(ROW($A$7:$A$606)&lt;&gt;377)*($L$7:$L$606&lt;=$M377)*($M$7:$M$606&gt;=$L377))&gt;0,"⚠ Çakışma","OK")))</f>
        <v/>
      </c>
      <c r="Q377" s="32" t="str">
        <f aca="false">IF($A377="","",IF(OR($E377="",$H377="",$L377=""),"",IF(SUMPRODUCT(($A$7:$A$606&lt;&gt;"")*($E$7:$E$606=$E377)*($H$7:$H$606=$H377)*(ROW($A$7:$A$606)&lt;&gt;377)*($L$7:$L$606&lt;=$M377)*($M$7:$M$606&gt;=$L377))&gt;0,"⚠ Çakışma","OK")))</f>
        <v/>
      </c>
      <c r="R377" s="32" t="str">
        <f aca="false">IF($A377="","",IF(OR($N377&lt;&gt;"",$O377="⚠ Çakışma",$P377="⚠ Çakışma",$Q377="⚠ Çakışma"),"⚠ Kontrol Et","✓ Uygun"))</f>
        <v/>
      </c>
    </row>
    <row r="378" customFormat="false" ht="13.5" hidden="false" customHeight="true" outlineLevel="0" collapsed="false">
      <c r="A378" s="32" t="str">
        <f aca="false">IF('2-Gastronomi'!A175="","","Gastronomi ve Mutfak Sanatları")</f>
        <v/>
      </c>
      <c r="B378" s="32" t="str">
        <f aca="false">IF($A378="","",IF('2-Gastronomi'!A175="","",'2-Gastronomi'!A175))</f>
        <v/>
      </c>
      <c r="C378" s="33" t="str">
        <f aca="false">IF($A378="","",IF('2-Gastronomi'!B175="","",'2-Gastronomi'!B175))</f>
        <v/>
      </c>
      <c r="D378" s="32" t="str">
        <f aca="false">IF($A378="","",IF('2-Gastronomi'!C175="","",'2-Gastronomi'!C175))</f>
        <v/>
      </c>
      <c r="E378" s="32" t="str">
        <f aca="false">IF($A378="","",$A378&amp;"-"&amp;$D378)</f>
        <v/>
      </c>
      <c r="F378" s="32" t="str">
        <f aca="false">IF($A378="","",IF('2-Gastronomi'!D175="","",'2-Gastronomi'!D175))</f>
        <v/>
      </c>
      <c r="G378" s="32" t="str">
        <f aca="false">IF($A378="","",IF('2-Gastronomi'!E175="","",'2-Gastronomi'!E175))</f>
        <v/>
      </c>
      <c r="H378" s="32" t="str">
        <f aca="false">IF($A378="","",IF('2-Gastronomi'!F175="","",'2-Gastronomi'!F175))</f>
        <v/>
      </c>
      <c r="I378" s="32" t="str">
        <f aca="false">IF($A378="","",IF('2-Gastronomi'!G175="","",'2-Gastronomi'!G175))</f>
        <v/>
      </c>
      <c r="J378" s="32" t="str">
        <f aca="false">IF($A378="","",IF('2-Gastronomi'!H175="","",'2-Gastronomi'!H175))</f>
        <v/>
      </c>
      <c r="K378" s="32" t="str">
        <f aca="false">IF($A378="","",IF('2-Gastronomi'!I175="","",'2-Gastronomi'!I175))</f>
        <v/>
      </c>
      <c r="L378" s="32" t="str">
        <f aca="false">IF($I378="","",MATCH($I378,{"08.00";"09.00";"10.00";"11.00";"12.00";"13.00";"14.00";"15.00";"16.00";"17.00"},0))</f>
        <v/>
      </c>
      <c r="M378" s="32" t="str">
        <f aca="false">IF(OR($L378="",$J378=""),"",$L378+$J378-1)</f>
        <v/>
      </c>
      <c r="N378" s="32" t="str">
        <f aca="false">IF($A378="","",IF(OR($L378="",$M378=""),"",IF($M378&gt;10,"⚠ Saat Taşıyor","")))</f>
        <v/>
      </c>
      <c r="O378" s="32" t="str">
        <f aca="false">IF($A378="","",IF(OR($G378="",$H378="",$L378=""),"",IF(SUMPRODUCT(($A$7:$A$606&lt;&gt;"")*($G$7:$G$606=$G378)*($H$7:$H$606=$H378)*(ROW($A$7:$A$606)&lt;&gt;378)*($L$7:$L$606&lt;=$M378)*($M$7:$M$606&gt;=$L378))&gt;0,"⚠ Çakışma","OK")))</f>
        <v/>
      </c>
      <c r="P378" s="32" t="str">
        <f aca="false">IF($A378="","",IF(OR($K378="",$H378="",$L378=""),"",IF(SUMPRODUCT(($A$7:$A$606&lt;&gt;"")*($K$7:$K$606=$K378)*($H$7:$H$606=$H378)*(ROW($A$7:$A$606)&lt;&gt;378)*($L$7:$L$606&lt;=$M378)*($M$7:$M$606&gt;=$L378))&gt;0,"⚠ Çakışma","OK")))</f>
        <v/>
      </c>
      <c r="Q378" s="32" t="str">
        <f aca="false">IF($A378="","",IF(OR($E378="",$H378="",$L378=""),"",IF(SUMPRODUCT(($A$7:$A$606&lt;&gt;"")*($E$7:$E$606=$E378)*($H$7:$H$606=$H378)*(ROW($A$7:$A$606)&lt;&gt;378)*($L$7:$L$606&lt;=$M378)*($M$7:$M$606&gt;=$L378))&gt;0,"⚠ Çakışma","OK")))</f>
        <v/>
      </c>
      <c r="R378" s="32" t="str">
        <f aca="false">IF($A378="","",IF(OR($N378&lt;&gt;"",$O378="⚠ Çakışma",$P378="⚠ Çakışma",$Q378="⚠ Çakışma"),"⚠ Kontrol Et","✓ Uygun"))</f>
        <v/>
      </c>
    </row>
    <row r="379" customFormat="false" ht="13.5" hidden="false" customHeight="true" outlineLevel="0" collapsed="false">
      <c r="A379" s="32" t="str">
        <f aca="false">IF('2-Gastronomi'!A176="","","Gastronomi ve Mutfak Sanatları")</f>
        <v/>
      </c>
      <c r="B379" s="32" t="str">
        <f aca="false">IF($A379="","",IF('2-Gastronomi'!A176="","",'2-Gastronomi'!A176))</f>
        <v/>
      </c>
      <c r="C379" s="33" t="str">
        <f aca="false">IF($A379="","",IF('2-Gastronomi'!B176="","",'2-Gastronomi'!B176))</f>
        <v/>
      </c>
      <c r="D379" s="32" t="str">
        <f aca="false">IF($A379="","",IF('2-Gastronomi'!C176="","",'2-Gastronomi'!C176))</f>
        <v/>
      </c>
      <c r="E379" s="32" t="str">
        <f aca="false">IF($A379="","",$A379&amp;"-"&amp;$D379)</f>
        <v/>
      </c>
      <c r="F379" s="32" t="str">
        <f aca="false">IF($A379="","",IF('2-Gastronomi'!D176="","",'2-Gastronomi'!D176))</f>
        <v/>
      </c>
      <c r="G379" s="32" t="str">
        <f aca="false">IF($A379="","",IF('2-Gastronomi'!E176="","",'2-Gastronomi'!E176))</f>
        <v/>
      </c>
      <c r="H379" s="32" t="str">
        <f aca="false">IF($A379="","",IF('2-Gastronomi'!F176="","",'2-Gastronomi'!F176))</f>
        <v/>
      </c>
      <c r="I379" s="32" t="str">
        <f aca="false">IF($A379="","",IF('2-Gastronomi'!G176="","",'2-Gastronomi'!G176))</f>
        <v/>
      </c>
      <c r="J379" s="32" t="str">
        <f aca="false">IF($A379="","",IF('2-Gastronomi'!H176="","",'2-Gastronomi'!H176))</f>
        <v/>
      </c>
      <c r="K379" s="32" t="str">
        <f aca="false">IF($A379="","",IF('2-Gastronomi'!I176="","",'2-Gastronomi'!I176))</f>
        <v/>
      </c>
      <c r="L379" s="32" t="str">
        <f aca="false">IF($I379="","",MATCH($I379,{"08.00";"09.00";"10.00";"11.00";"12.00";"13.00";"14.00";"15.00";"16.00";"17.00"},0))</f>
        <v/>
      </c>
      <c r="M379" s="32" t="str">
        <f aca="false">IF(OR($L379="",$J379=""),"",$L379+$J379-1)</f>
        <v/>
      </c>
      <c r="N379" s="32" t="str">
        <f aca="false">IF($A379="","",IF(OR($L379="",$M379=""),"",IF($M379&gt;10,"⚠ Saat Taşıyor","")))</f>
        <v/>
      </c>
      <c r="O379" s="32" t="str">
        <f aca="false">IF($A379="","",IF(OR($G379="",$H379="",$L379=""),"",IF(SUMPRODUCT(($A$7:$A$606&lt;&gt;"")*($G$7:$G$606=$G379)*($H$7:$H$606=$H379)*(ROW($A$7:$A$606)&lt;&gt;379)*($L$7:$L$606&lt;=$M379)*($M$7:$M$606&gt;=$L379))&gt;0,"⚠ Çakışma","OK")))</f>
        <v/>
      </c>
      <c r="P379" s="32" t="str">
        <f aca="false">IF($A379="","",IF(OR($K379="",$H379="",$L379=""),"",IF(SUMPRODUCT(($A$7:$A$606&lt;&gt;"")*($K$7:$K$606=$K379)*($H$7:$H$606=$H379)*(ROW($A$7:$A$606)&lt;&gt;379)*($L$7:$L$606&lt;=$M379)*($M$7:$M$606&gt;=$L379))&gt;0,"⚠ Çakışma","OK")))</f>
        <v/>
      </c>
      <c r="Q379" s="32" t="str">
        <f aca="false">IF($A379="","",IF(OR($E379="",$H379="",$L379=""),"",IF(SUMPRODUCT(($A$7:$A$606&lt;&gt;"")*($E$7:$E$606=$E379)*($H$7:$H$606=$H379)*(ROW($A$7:$A$606)&lt;&gt;379)*($L$7:$L$606&lt;=$M379)*($M$7:$M$606&gt;=$L379))&gt;0,"⚠ Çakışma","OK")))</f>
        <v/>
      </c>
      <c r="R379" s="32" t="str">
        <f aca="false">IF($A379="","",IF(OR($N379&lt;&gt;"",$O379="⚠ Çakışma",$P379="⚠ Çakışma",$Q379="⚠ Çakışma"),"⚠ Kontrol Et","✓ Uygun"))</f>
        <v/>
      </c>
    </row>
    <row r="380" customFormat="false" ht="13.5" hidden="false" customHeight="true" outlineLevel="0" collapsed="false">
      <c r="A380" s="32" t="str">
        <f aca="false">IF('2-Gastronomi'!A177="","","Gastronomi ve Mutfak Sanatları")</f>
        <v/>
      </c>
      <c r="B380" s="32" t="str">
        <f aca="false">IF($A380="","",IF('2-Gastronomi'!A177="","",'2-Gastronomi'!A177))</f>
        <v/>
      </c>
      <c r="C380" s="33" t="str">
        <f aca="false">IF($A380="","",IF('2-Gastronomi'!B177="","",'2-Gastronomi'!B177))</f>
        <v/>
      </c>
      <c r="D380" s="32" t="str">
        <f aca="false">IF($A380="","",IF('2-Gastronomi'!C177="","",'2-Gastronomi'!C177))</f>
        <v/>
      </c>
      <c r="E380" s="32" t="str">
        <f aca="false">IF($A380="","",$A380&amp;"-"&amp;$D380)</f>
        <v/>
      </c>
      <c r="F380" s="32" t="str">
        <f aca="false">IF($A380="","",IF('2-Gastronomi'!D177="","",'2-Gastronomi'!D177))</f>
        <v/>
      </c>
      <c r="G380" s="32" t="str">
        <f aca="false">IF($A380="","",IF('2-Gastronomi'!E177="","",'2-Gastronomi'!E177))</f>
        <v/>
      </c>
      <c r="H380" s="32" t="str">
        <f aca="false">IF($A380="","",IF('2-Gastronomi'!F177="","",'2-Gastronomi'!F177))</f>
        <v/>
      </c>
      <c r="I380" s="32" t="str">
        <f aca="false">IF($A380="","",IF('2-Gastronomi'!G177="","",'2-Gastronomi'!G177))</f>
        <v/>
      </c>
      <c r="J380" s="32" t="str">
        <f aca="false">IF($A380="","",IF('2-Gastronomi'!H177="","",'2-Gastronomi'!H177))</f>
        <v/>
      </c>
      <c r="K380" s="32" t="str">
        <f aca="false">IF($A380="","",IF('2-Gastronomi'!I177="","",'2-Gastronomi'!I177))</f>
        <v/>
      </c>
      <c r="L380" s="32" t="str">
        <f aca="false">IF($I380="","",MATCH($I380,{"08.00";"09.00";"10.00";"11.00";"12.00";"13.00";"14.00";"15.00";"16.00";"17.00"},0))</f>
        <v/>
      </c>
      <c r="M380" s="32" t="str">
        <f aca="false">IF(OR($L380="",$J380=""),"",$L380+$J380-1)</f>
        <v/>
      </c>
      <c r="N380" s="32" t="str">
        <f aca="false">IF($A380="","",IF(OR($L380="",$M380=""),"",IF($M380&gt;10,"⚠ Saat Taşıyor","")))</f>
        <v/>
      </c>
      <c r="O380" s="32" t="str">
        <f aca="false">IF($A380="","",IF(OR($G380="",$H380="",$L380=""),"",IF(SUMPRODUCT(($A$7:$A$606&lt;&gt;"")*($G$7:$G$606=$G380)*($H$7:$H$606=$H380)*(ROW($A$7:$A$606)&lt;&gt;380)*($L$7:$L$606&lt;=$M380)*($M$7:$M$606&gt;=$L380))&gt;0,"⚠ Çakışma","OK")))</f>
        <v/>
      </c>
      <c r="P380" s="32" t="str">
        <f aca="false">IF($A380="","",IF(OR($K380="",$H380="",$L380=""),"",IF(SUMPRODUCT(($A$7:$A$606&lt;&gt;"")*($K$7:$K$606=$K380)*($H$7:$H$606=$H380)*(ROW($A$7:$A$606)&lt;&gt;380)*($L$7:$L$606&lt;=$M380)*($M$7:$M$606&gt;=$L380))&gt;0,"⚠ Çakışma","OK")))</f>
        <v/>
      </c>
      <c r="Q380" s="32" t="str">
        <f aca="false">IF($A380="","",IF(OR($E380="",$H380="",$L380=""),"",IF(SUMPRODUCT(($A$7:$A$606&lt;&gt;"")*($E$7:$E$606=$E380)*($H$7:$H$606=$H380)*(ROW($A$7:$A$606)&lt;&gt;380)*($L$7:$L$606&lt;=$M380)*($M$7:$M$606&gt;=$L380))&gt;0,"⚠ Çakışma","OK")))</f>
        <v/>
      </c>
      <c r="R380" s="32" t="str">
        <f aca="false">IF($A380="","",IF(OR($N380&lt;&gt;"",$O380="⚠ Çakışma",$P380="⚠ Çakışma",$Q380="⚠ Çakışma"),"⚠ Kontrol Et","✓ Uygun"))</f>
        <v/>
      </c>
    </row>
    <row r="381" customFormat="false" ht="13.5" hidden="false" customHeight="true" outlineLevel="0" collapsed="false">
      <c r="A381" s="32" t="str">
        <f aca="false">IF('2-Gastronomi'!A178="","","Gastronomi ve Mutfak Sanatları")</f>
        <v/>
      </c>
      <c r="B381" s="32" t="str">
        <f aca="false">IF($A381="","",IF('2-Gastronomi'!A178="","",'2-Gastronomi'!A178))</f>
        <v/>
      </c>
      <c r="C381" s="33" t="str">
        <f aca="false">IF($A381="","",IF('2-Gastronomi'!B178="","",'2-Gastronomi'!B178))</f>
        <v/>
      </c>
      <c r="D381" s="32" t="str">
        <f aca="false">IF($A381="","",IF('2-Gastronomi'!C178="","",'2-Gastronomi'!C178))</f>
        <v/>
      </c>
      <c r="E381" s="32" t="str">
        <f aca="false">IF($A381="","",$A381&amp;"-"&amp;$D381)</f>
        <v/>
      </c>
      <c r="F381" s="32" t="str">
        <f aca="false">IF($A381="","",IF('2-Gastronomi'!D178="","",'2-Gastronomi'!D178))</f>
        <v/>
      </c>
      <c r="G381" s="32" t="str">
        <f aca="false">IF($A381="","",IF('2-Gastronomi'!E178="","",'2-Gastronomi'!E178))</f>
        <v/>
      </c>
      <c r="H381" s="32" t="str">
        <f aca="false">IF($A381="","",IF('2-Gastronomi'!F178="","",'2-Gastronomi'!F178))</f>
        <v/>
      </c>
      <c r="I381" s="32" t="str">
        <f aca="false">IF($A381="","",IF('2-Gastronomi'!G178="","",'2-Gastronomi'!G178))</f>
        <v/>
      </c>
      <c r="J381" s="32" t="str">
        <f aca="false">IF($A381="","",IF('2-Gastronomi'!H178="","",'2-Gastronomi'!H178))</f>
        <v/>
      </c>
      <c r="K381" s="32" t="str">
        <f aca="false">IF($A381="","",IF('2-Gastronomi'!I178="","",'2-Gastronomi'!I178))</f>
        <v/>
      </c>
      <c r="L381" s="32" t="str">
        <f aca="false">IF($I381="","",MATCH($I381,{"08.00";"09.00";"10.00";"11.00";"12.00";"13.00";"14.00";"15.00";"16.00";"17.00"},0))</f>
        <v/>
      </c>
      <c r="M381" s="32" t="str">
        <f aca="false">IF(OR($L381="",$J381=""),"",$L381+$J381-1)</f>
        <v/>
      </c>
      <c r="N381" s="32" t="str">
        <f aca="false">IF($A381="","",IF(OR($L381="",$M381=""),"",IF($M381&gt;10,"⚠ Saat Taşıyor","")))</f>
        <v/>
      </c>
      <c r="O381" s="32" t="str">
        <f aca="false">IF($A381="","",IF(OR($G381="",$H381="",$L381=""),"",IF(SUMPRODUCT(($A$7:$A$606&lt;&gt;"")*($G$7:$G$606=$G381)*($H$7:$H$606=$H381)*(ROW($A$7:$A$606)&lt;&gt;381)*($L$7:$L$606&lt;=$M381)*($M$7:$M$606&gt;=$L381))&gt;0,"⚠ Çakışma","OK")))</f>
        <v/>
      </c>
      <c r="P381" s="32" t="str">
        <f aca="false">IF($A381="","",IF(OR($K381="",$H381="",$L381=""),"",IF(SUMPRODUCT(($A$7:$A$606&lt;&gt;"")*($K$7:$K$606=$K381)*($H$7:$H$606=$H381)*(ROW($A$7:$A$606)&lt;&gt;381)*($L$7:$L$606&lt;=$M381)*($M$7:$M$606&gt;=$L381))&gt;0,"⚠ Çakışma","OK")))</f>
        <v/>
      </c>
      <c r="Q381" s="32" t="str">
        <f aca="false">IF($A381="","",IF(OR($E381="",$H381="",$L381=""),"",IF(SUMPRODUCT(($A$7:$A$606&lt;&gt;"")*($E$7:$E$606=$E381)*($H$7:$H$606=$H381)*(ROW($A$7:$A$606)&lt;&gt;381)*($L$7:$L$606&lt;=$M381)*($M$7:$M$606&gt;=$L381))&gt;0,"⚠ Çakışma","OK")))</f>
        <v/>
      </c>
      <c r="R381" s="32" t="str">
        <f aca="false">IF($A381="","",IF(OR($N381&lt;&gt;"",$O381="⚠ Çakışma",$P381="⚠ Çakışma",$Q381="⚠ Çakışma"),"⚠ Kontrol Et","✓ Uygun"))</f>
        <v/>
      </c>
    </row>
    <row r="382" customFormat="false" ht="13.5" hidden="false" customHeight="true" outlineLevel="0" collapsed="false">
      <c r="A382" s="32" t="str">
        <f aca="false">IF('2-Gastronomi'!A179="","","Gastronomi ve Mutfak Sanatları")</f>
        <v/>
      </c>
      <c r="B382" s="32" t="str">
        <f aca="false">IF($A382="","",IF('2-Gastronomi'!A179="","",'2-Gastronomi'!A179))</f>
        <v/>
      </c>
      <c r="C382" s="33" t="str">
        <f aca="false">IF($A382="","",IF('2-Gastronomi'!B179="","",'2-Gastronomi'!B179))</f>
        <v/>
      </c>
      <c r="D382" s="32" t="str">
        <f aca="false">IF($A382="","",IF('2-Gastronomi'!C179="","",'2-Gastronomi'!C179))</f>
        <v/>
      </c>
      <c r="E382" s="32" t="str">
        <f aca="false">IF($A382="","",$A382&amp;"-"&amp;$D382)</f>
        <v/>
      </c>
      <c r="F382" s="32" t="str">
        <f aca="false">IF($A382="","",IF('2-Gastronomi'!D179="","",'2-Gastronomi'!D179))</f>
        <v/>
      </c>
      <c r="G382" s="32" t="str">
        <f aca="false">IF($A382="","",IF('2-Gastronomi'!E179="","",'2-Gastronomi'!E179))</f>
        <v/>
      </c>
      <c r="H382" s="32" t="str">
        <f aca="false">IF($A382="","",IF('2-Gastronomi'!F179="","",'2-Gastronomi'!F179))</f>
        <v/>
      </c>
      <c r="I382" s="32" t="str">
        <f aca="false">IF($A382="","",IF('2-Gastronomi'!G179="","",'2-Gastronomi'!G179))</f>
        <v/>
      </c>
      <c r="J382" s="32" t="str">
        <f aca="false">IF($A382="","",IF('2-Gastronomi'!H179="","",'2-Gastronomi'!H179))</f>
        <v/>
      </c>
      <c r="K382" s="32" t="str">
        <f aca="false">IF($A382="","",IF('2-Gastronomi'!I179="","",'2-Gastronomi'!I179))</f>
        <v/>
      </c>
      <c r="L382" s="32" t="str">
        <f aca="false">IF($I382="","",MATCH($I382,{"08.00";"09.00";"10.00";"11.00";"12.00";"13.00";"14.00";"15.00";"16.00";"17.00"},0))</f>
        <v/>
      </c>
      <c r="M382" s="32" t="str">
        <f aca="false">IF(OR($L382="",$J382=""),"",$L382+$J382-1)</f>
        <v/>
      </c>
      <c r="N382" s="32" t="str">
        <f aca="false">IF($A382="","",IF(OR($L382="",$M382=""),"",IF($M382&gt;10,"⚠ Saat Taşıyor","")))</f>
        <v/>
      </c>
      <c r="O382" s="32" t="str">
        <f aca="false">IF($A382="","",IF(OR($G382="",$H382="",$L382=""),"",IF(SUMPRODUCT(($A$7:$A$606&lt;&gt;"")*($G$7:$G$606=$G382)*($H$7:$H$606=$H382)*(ROW($A$7:$A$606)&lt;&gt;382)*($L$7:$L$606&lt;=$M382)*($M$7:$M$606&gt;=$L382))&gt;0,"⚠ Çakışma","OK")))</f>
        <v/>
      </c>
      <c r="P382" s="32" t="str">
        <f aca="false">IF($A382="","",IF(OR($K382="",$H382="",$L382=""),"",IF(SUMPRODUCT(($A$7:$A$606&lt;&gt;"")*($K$7:$K$606=$K382)*($H$7:$H$606=$H382)*(ROW($A$7:$A$606)&lt;&gt;382)*($L$7:$L$606&lt;=$M382)*($M$7:$M$606&gt;=$L382))&gt;0,"⚠ Çakışma","OK")))</f>
        <v/>
      </c>
      <c r="Q382" s="32" t="str">
        <f aca="false">IF($A382="","",IF(OR($E382="",$H382="",$L382=""),"",IF(SUMPRODUCT(($A$7:$A$606&lt;&gt;"")*($E$7:$E$606=$E382)*($H$7:$H$606=$H382)*(ROW($A$7:$A$606)&lt;&gt;382)*($L$7:$L$606&lt;=$M382)*($M$7:$M$606&gt;=$L382))&gt;0,"⚠ Çakışma","OK")))</f>
        <v/>
      </c>
      <c r="R382" s="32" t="str">
        <f aca="false">IF($A382="","",IF(OR($N382&lt;&gt;"",$O382="⚠ Çakışma",$P382="⚠ Çakışma",$Q382="⚠ Çakışma"),"⚠ Kontrol Et","✓ Uygun"))</f>
        <v/>
      </c>
    </row>
    <row r="383" customFormat="false" ht="13.5" hidden="false" customHeight="true" outlineLevel="0" collapsed="false">
      <c r="A383" s="32" t="str">
        <f aca="false">IF('2-Gastronomi'!A180="","","Gastronomi ve Mutfak Sanatları")</f>
        <v/>
      </c>
      <c r="B383" s="32" t="str">
        <f aca="false">IF($A383="","",IF('2-Gastronomi'!A180="","",'2-Gastronomi'!A180))</f>
        <v/>
      </c>
      <c r="C383" s="33" t="str">
        <f aca="false">IF($A383="","",IF('2-Gastronomi'!B180="","",'2-Gastronomi'!B180))</f>
        <v/>
      </c>
      <c r="D383" s="32" t="str">
        <f aca="false">IF($A383="","",IF('2-Gastronomi'!C180="","",'2-Gastronomi'!C180))</f>
        <v/>
      </c>
      <c r="E383" s="32" t="str">
        <f aca="false">IF($A383="","",$A383&amp;"-"&amp;$D383)</f>
        <v/>
      </c>
      <c r="F383" s="32" t="str">
        <f aca="false">IF($A383="","",IF('2-Gastronomi'!D180="","",'2-Gastronomi'!D180))</f>
        <v/>
      </c>
      <c r="G383" s="32" t="str">
        <f aca="false">IF($A383="","",IF('2-Gastronomi'!E180="","",'2-Gastronomi'!E180))</f>
        <v/>
      </c>
      <c r="H383" s="32" t="str">
        <f aca="false">IF($A383="","",IF('2-Gastronomi'!F180="","",'2-Gastronomi'!F180))</f>
        <v/>
      </c>
      <c r="I383" s="32" t="str">
        <f aca="false">IF($A383="","",IF('2-Gastronomi'!G180="","",'2-Gastronomi'!G180))</f>
        <v/>
      </c>
      <c r="J383" s="32" t="str">
        <f aca="false">IF($A383="","",IF('2-Gastronomi'!H180="","",'2-Gastronomi'!H180))</f>
        <v/>
      </c>
      <c r="K383" s="32" t="str">
        <f aca="false">IF($A383="","",IF('2-Gastronomi'!I180="","",'2-Gastronomi'!I180))</f>
        <v/>
      </c>
      <c r="L383" s="32" t="str">
        <f aca="false">IF($I383="","",MATCH($I383,{"08.00";"09.00";"10.00";"11.00";"12.00";"13.00";"14.00";"15.00";"16.00";"17.00"},0))</f>
        <v/>
      </c>
      <c r="M383" s="32" t="str">
        <f aca="false">IF(OR($L383="",$J383=""),"",$L383+$J383-1)</f>
        <v/>
      </c>
      <c r="N383" s="32" t="str">
        <f aca="false">IF($A383="","",IF(OR($L383="",$M383=""),"",IF($M383&gt;10,"⚠ Saat Taşıyor","")))</f>
        <v/>
      </c>
      <c r="O383" s="32" t="str">
        <f aca="false">IF($A383="","",IF(OR($G383="",$H383="",$L383=""),"",IF(SUMPRODUCT(($A$7:$A$606&lt;&gt;"")*($G$7:$G$606=$G383)*($H$7:$H$606=$H383)*(ROW($A$7:$A$606)&lt;&gt;383)*($L$7:$L$606&lt;=$M383)*($M$7:$M$606&gt;=$L383))&gt;0,"⚠ Çakışma","OK")))</f>
        <v/>
      </c>
      <c r="P383" s="32" t="str">
        <f aca="false">IF($A383="","",IF(OR($K383="",$H383="",$L383=""),"",IF(SUMPRODUCT(($A$7:$A$606&lt;&gt;"")*($K$7:$K$606=$K383)*($H$7:$H$606=$H383)*(ROW($A$7:$A$606)&lt;&gt;383)*($L$7:$L$606&lt;=$M383)*($M$7:$M$606&gt;=$L383))&gt;0,"⚠ Çakışma","OK")))</f>
        <v/>
      </c>
      <c r="Q383" s="32" t="str">
        <f aca="false">IF($A383="","",IF(OR($E383="",$H383="",$L383=""),"",IF(SUMPRODUCT(($A$7:$A$606&lt;&gt;"")*($E$7:$E$606=$E383)*($H$7:$H$606=$H383)*(ROW($A$7:$A$606)&lt;&gt;383)*($L$7:$L$606&lt;=$M383)*($M$7:$M$606&gt;=$L383))&gt;0,"⚠ Çakışma","OK")))</f>
        <v/>
      </c>
      <c r="R383" s="32" t="str">
        <f aca="false">IF($A383="","",IF(OR($N383&lt;&gt;"",$O383="⚠ Çakışma",$P383="⚠ Çakışma",$Q383="⚠ Çakışma"),"⚠ Kontrol Et","✓ Uygun"))</f>
        <v/>
      </c>
    </row>
    <row r="384" customFormat="false" ht="13.5" hidden="false" customHeight="true" outlineLevel="0" collapsed="false">
      <c r="A384" s="32" t="str">
        <f aca="false">IF('2-Gastronomi'!A181="","","Gastronomi ve Mutfak Sanatları")</f>
        <v/>
      </c>
      <c r="B384" s="32" t="str">
        <f aca="false">IF($A384="","",IF('2-Gastronomi'!A181="","",'2-Gastronomi'!A181))</f>
        <v/>
      </c>
      <c r="C384" s="33" t="str">
        <f aca="false">IF($A384="","",IF('2-Gastronomi'!B181="","",'2-Gastronomi'!B181))</f>
        <v/>
      </c>
      <c r="D384" s="32" t="str">
        <f aca="false">IF($A384="","",IF('2-Gastronomi'!C181="","",'2-Gastronomi'!C181))</f>
        <v/>
      </c>
      <c r="E384" s="32" t="str">
        <f aca="false">IF($A384="","",$A384&amp;"-"&amp;$D384)</f>
        <v/>
      </c>
      <c r="F384" s="32" t="str">
        <f aca="false">IF($A384="","",IF('2-Gastronomi'!D181="","",'2-Gastronomi'!D181))</f>
        <v/>
      </c>
      <c r="G384" s="32" t="str">
        <f aca="false">IF($A384="","",IF('2-Gastronomi'!E181="","",'2-Gastronomi'!E181))</f>
        <v/>
      </c>
      <c r="H384" s="32" t="str">
        <f aca="false">IF($A384="","",IF('2-Gastronomi'!F181="","",'2-Gastronomi'!F181))</f>
        <v/>
      </c>
      <c r="I384" s="32" t="str">
        <f aca="false">IF($A384="","",IF('2-Gastronomi'!G181="","",'2-Gastronomi'!G181))</f>
        <v/>
      </c>
      <c r="J384" s="32" t="str">
        <f aca="false">IF($A384="","",IF('2-Gastronomi'!H181="","",'2-Gastronomi'!H181))</f>
        <v/>
      </c>
      <c r="K384" s="32" t="str">
        <f aca="false">IF($A384="","",IF('2-Gastronomi'!I181="","",'2-Gastronomi'!I181))</f>
        <v/>
      </c>
      <c r="L384" s="32" t="str">
        <f aca="false">IF($I384="","",MATCH($I384,{"08.00";"09.00";"10.00";"11.00";"12.00";"13.00";"14.00";"15.00";"16.00";"17.00"},0))</f>
        <v/>
      </c>
      <c r="M384" s="32" t="str">
        <f aca="false">IF(OR($L384="",$J384=""),"",$L384+$J384-1)</f>
        <v/>
      </c>
      <c r="N384" s="32" t="str">
        <f aca="false">IF($A384="","",IF(OR($L384="",$M384=""),"",IF($M384&gt;10,"⚠ Saat Taşıyor","")))</f>
        <v/>
      </c>
      <c r="O384" s="32" t="str">
        <f aca="false">IF($A384="","",IF(OR($G384="",$H384="",$L384=""),"",IF(SUMPRODUCT(($A$7:$A$606&lt;&gt;"")*($G$7:$G$606=$G384)*($H$7:$H$606=$H384)*(ROW($A$7:$A$606)&lt;&gt;384)*($L$7:$L$606&lt;=$M384)*($M$7:$M$606&gt;=$L384))&gt;0,"⚠ Çakışma","OK")))</f>
        <v/>
      </c>
      <c r="P384" s="32" t="str">
        <f aca="false">IF($A384="","",IF(OR($K384="",$H384="",$L384=""),"",IF(SUMPRODUCT(($A$7:$A$606&lt;&gt;"")*($K$7:$K$606=$K384)*($H$7:$H$606=$H384)*(ROW($A$7:$A$606)&lt;&gt;384)*($L$7:$L$606&lt;=$M384)*($M$7:$M$606&gt;=$L384))&gt;0,"⚠ Çakışma","OK")))</f>
        <v/>
      </c>
      <c r="Q384" s="32" t="str">
        <f aca="false">IF($A384="","",IF(OR($E384="",$H384="",$L384=""),"",IF(SUMPRODUCT(($A$7:$A$606&lt;&gt;"")*($E$7:$E$606=$E384)*($H$7:$H$606=$H384)*(ROW($A$7:$A$606)&lt;&gt;384)*($L$7:$L$606&lt;=$M384)*($M$7:$M$606&gt;=$L384))&gt;0,"⚠ Çakışma","OK")))</f>
        <v/>
      </c>
      <c r="R384" s="32" t="str">
        <f aca="false">IF($A384="","",IF(OR($N384&lt;&gt;"",$O384="⚠ Çakışma",$P384="⚠ Çakışma",$Q384="⚠ Çakışma"),"⚠ Kontrol Et","✓ Uygun"))</f>
        <v/>
      </c>
    </row>
    <row r="385" customFormat="false" ht="13.5" hidden="false" customHeight="true" outlineLevel="0" collapsed="false">
      <c r="A385" s="32" t="str">
        <f aca="false">IF('2-Gastronomi'!A182="","","Gastronomi ve Mutfak Sanatları")</f>
        <v/>
      </c>
      <c r="B385" s="32" t="str">
        <f aca="false">IF($A385="","",IF('2-Gastronomi'!A182="","",'2-Gastronomi'!A182))</f>
        <v/>
      </c>
      <c r="C385" s="33" t="str">
        <f aca="false">IF($A385="","",IF('2-Gastronomi'!B182="","",'2-Gastronomi'!B182))</f>
        <v/>
      </c>
      <c r="D385" s="32" t="str">
        <f aca="false">IF($A385="","",IF('2-Gastronomi'!C182="","",'2-Gastronomi'!C182))</f>
        <v/>
      </c>
      <c r="E385" s="32" t="str">
        <f aca="false">IF($A385="","",$A385&amp;"-"&amp;$D385)</f>
        <v/>
      </c>
      <c r="F385" s="32" t="str">
        <f aca="false">IF($A385="","",IF('2-Gastronomi'!D182="","",'2-Gastronomi'!D182))</f>
        <v/>
      </c>
      <c r="G385" s="32" t="str">
        <f aca="false">IF($A385="","",IF('2-Gastronomi'!E182="","",'2-Gastronomi'!E182))</f>
        <v/>
      </c>
      <c r="H385" s="32" t="str">
        <f aca="false">IF($A385="","",IF('2-Gastronomi'!F182="","",'2-Gastronomi'!F182))</f>
        <v/>
      </c>
      <c r="I385" s="32" t="str">
        <f aca="false">IF($A385="","",IF('2-Gastronomi'!G182="","",'2-Gastronomi'!G182))</f>
        <v/>
      </c>
      <c r="J385" s="32" t="str">
        <f aca="false">IF($A385="","",IF('2-Gastronomi'!H182="","",'2-Gastronomi'!H182))</f>
        <v/>
      </c>
      <c r="K385" s="32" t="str">
        <f aca="false">IF($A385="","",IF('2-Gastronomi'!I182="","",'2-Gastronomi'!I182))</f>
        <v/>
      </c>
      <c r="L385" s="32" t="str">
        <f aca="false">IF($I385="","",MATCH($I385,{"08.00";"09.00";"10.00";"11.00";"12.00";"13.00";"14.00";"15.00";"16.00";"17.00"},0))</f>
        <v/>
      </c>
      <c r="M385" s="32" t="str">
        <f aca="false">IF(OR($L385="",$J385=""),"",$L385+$J385-1)</f>
        <v/>
      </c>
      <c r="N385" s="32" t="str">
        <f aca="false">IF($A385="","",IF(OR($L385="",$M385=""),"",IF($M385&gt;10,"⚠ Saat Taşıyor","")))</f>
        <v/>
      </c>
      <c r="O385" s="32" t="str">
        <f aca="false">IF($A385="","",IF(OR($G385="",$H385="",$L385=""),"",IF(SUMPRODUCT(($A$7:$A$606&lt;&gt;"")*($G$7:$G$606=$G385)*($H$7:$H$606=$H385)*(ROW($A$7:$A$606)&lt;&gt;385)*($L$7:$L$606&lt;=$M385)*($M$7:$M$606&gt;=$L385))&gt;0,"⚠ Çakışma","OK")))</f>
        <v/>
      </c>
      <c r="P385" s="32" t="str">
        <f aca="false">IF($A385="","",IF(OR($K385="",$H385="",$L385=""),"",IF(SUMPRODUCT(($A$7:$A$606&lt;&gt;"")*($K$7:$K$606=$K385)*($H$7:$H$606=$H385)*(ROW($A$7:$A$606)&lt;&gt;385)*($L$7:$L$606&lt;=$M385)*($M$7:$M$606&gt;=$L385))&gt;0,"⚠ Çakışma","OK")))</f>
        <v/>
      </c>
      <c r="Q385" s="32" t="str">
        <f aca="false">IF($A385="","",IF(OR($E385="",$H385="",$L385=""),"",IF(SUMPRODUCT(($A$7:$A$606&lt;&gt;"")*($E$7:$E$606=$E385)*($H$7:$H$606=$H385)*(ROW($A$7:$A$606)&lt;&gt;385)*($L$7:$L$606&lt;=$M385)*($M$7:$M$606&gt;=$L385))&gt;0,"⚠ Çakışma","OK")))</f>
        <v/>
      </c>
      <c r="R385" s="32" t="str">
        <f aca="false">IF($A385="","",IF(OR($N385&lt;&gt;"",$O385="⚠ Çakışma",$P385="⚠ Çakışma",$Q385="⚠ Çakışma"),"⚠ Kontrol Et","✓ Uygun"))</f>
        <v/>
      </c>
    </row>
    <row r="386" customFormat="false" ht="13.5" hidden="false" customHeight="true" outlineLevel="0" collapsed="false">
      <c r="A386" s="32" t="str">
        <f aca="false">IF('2-Gastronomi'!A183="","","Gastronomi ve Mutfak Sanatları")</f>
        <v/>
      </c>
      <c r="B386" s="32" t="str">
        <f aca="false">IF($A386="","",IF('2-Gastronomi'!A183="","",'2-Gastronomi'!A183))</f>
        <v/>
      </c>
      <c r="C386" s="33" t="str">
        <f aca="false">IF($A386="","",IF('2-Gastronomi'!B183="","",'2-Gastronomi'!B183))</f>
        <v/>
      </c>
      <c r="D386" s="32" t="str">
        <f aca="false">IF($A386="","",IF('2-Gastronomi'!C183="","",'2-Gastronomi'!C183))</f>
        <v/>
      </c>
      <c r="E386" s="32" t="str">
        <f aca="false">IF($A386="","",$A386&amp;"-"&amp;$D386)</f>
        <v/>
      </c>
      <c r="F386" s="32" t="str">
        <f aca="false">IF($A386="","",IF('2-Gastronomi'!D183="","",'2-Gastronomi'!D183))</f>
        <v/>
      </c>
      <c r="G386" s="32" t="str">
        <f aca="false">IF($A386="","",IF('2-Gastronomi'!E183="","",'2-Gastronomi'!E183))</f>
        <v/>
      </c>
      <c r="H386" s="32" t="str">
        <f aca="false">IF($A386="","",IF('2-Gastronomi'!F183="","",'2-Gastronomi'!F183))</f>
        <v/>
      </c>
      <c r="I386" s="32" t="str">
        <f aca="false">IF($A386="","",IF('2-Gastronomi'!G183="","",'2-Gastronomi'!G183))</f>
        <v/>
      </c>
      <c r="J386" s="32" t="str">
        <f aca="false">IF($A386="","",IF('2-Gastronomi'!H183="","",'2-Gastronomi'!H183))</f>
        <v/>
      </c>
      <c r="K386" s="32" t="str">
        <f aca="false">IF($A386="","",IF('2-Gastronomi'!I183="","",'2-Gastronomi'!I183))</f>
        <v/>
      </c>
      <c r="L386" s="32" t="str">
        <f aca="false">IF($I386="","",MATCH($I386,{"08.00";"09.00";"10.00";"11.00";"12.00";"13.00";"14.00";"15.00";"16.00";"17.00"},0))</f>
        <v/>
      </c>
      <c r="M386" s="32" t="str">
        <f aca="false">IF(OR($L386="",$J386=""),"",$L386+$J386-1)</f>
        <v/>
      </c>
      <c r="N386" s="32" t="str">
        <f aca="false">IF($A386="","",IF(OR($L386="",$M386=""),"",IF($M386&gt;10,"⚠ Saat Taşıyor","")))</f>
        <v/>
      </c>
      <c r="O386" s="32" t="str">
        <f aca="false">IF($A386="","",IF(OR($G386="",$H386="",$L386=""),"",IF(SUMPRODUCT(($A$7:$A$606&lt;&gt;"")*($G$7:$G$606=$G386)*($H$7:$H$606=$H386)*(ROW($A$7:$A$606)&lt;&gt;386)*($L$7:$L$606&lt;=$M386)*($M$7:$M$606&gt;=$L386))&gt;0,"⚠ Çakışma","OK")))</f>
        <v/>
      </c>
      <c r="P386" s="32" t="str">
        <f aca="false">IF($A386="","",IF(OR($K386="",$H386="",$L386=""),"",IF(SUMPRODUCT(($A$7:$A$606&lt;&gt;"")*($K$7:$K$606=$K386)*($H$7:$H$606=$H386)*(ROW($A$7:$A$606)&lt;&gt;386)*($L$7:$L$606&lt;=$M386)*($M$7:$M$606&gt;=$L386))&gt;0,"⚠ Çakışma","OK")))</f>
        <v/>
      </c>
      <c r="Q386" s="32" t="str">
        <f aca="false">IF($A386="","",IF(OR($E386="",$H386="",$L386=""),"",IF(SUMPRODUCT(($A$7:$A$606&lt;&gt;"")*($E$7:$E$606=$E386)*($H$7:$H$606=$H386)*(ROW($A$7:$A$606)&lt;&gt;386)*($L$7:$L$606&lt;=$M386)*($M$7:$M$606&gt;=$L386))&gt;0,"⚠ Çakışma","OK")))</f>
        <v/>
      </c>
      <c r="R386" s="32" t="str">
        <f aca="false">IF($A386="","",IF(OR($N386&lt;&gt;"",$O386="⚠ Çakışma",$P386="⚠ Çakışma",$Q386="⚠ Çakışma"),"⚠ Kontrol Et","✓ Uygun"))</f>
        <v/>
      </c>
    </row>
    <row r="387" customFormat="false" ht="13.5" hidden="false" customHeight="true" outlineLevel="0" collapsed="false">
      <c r="A387" s="32" t="str">
        <f aca="false">IF('2-Gastronomi'!A184="","","Gastronomi ve Mutfak Sanatları")</f>
        <v/>
      </c>
      <c r="B387" s="32" t="str">
        <f aca="false">IF($A387="","",IF('2-Gastronomi'!A184="","",'2-Gastronomi'!A184))</f>
        <v/>
      </c>
      <c r="C387" s="33" t="str">
        <f aca="false">IF($A387="","",IF('2-Gastronomi'!B184="","",'2-Gastronomi'!B184))</f>
        <v/>
      </c>
      <c r="D387" s="32" t="str">
        <f aca="false">IF($A387="","",IF('2-Gastronomi'!C184="","",'2-Gastronomi'!C184))</f>
        <v/>
      </c>
      <c r="E387" s="32" t="str">
        <f aca="false">IF($A387="","",$A387&amp;"-"&amp;$D387)</f>
        <v/>
      </c>
      <c r="F387" s="32" t="str">
        <f aca="false">IF($A387="","",IF('2-Gastronomi'!D184="","",'2-Gastronomi'!D184))</f>
        <v/>
      </c>
      <c r="G387" s="32" t="str">
        <f aca="false">IF($A387="","",IF('2-Gastronomi'!E184="","",'2-Gastronomi'!E184))</f>
        <v/>
      </c>
      <c r="H387" s="32" t="str">
        <f aca="false">IF($A387="","",IF('2-Gastronomi'!F184="","",'2-Gastronomi'!F184))</f>
        <v/>
      </c>
      <c r="I387" s="32" t="str">
        <f aca="false">IF($A387="","",IF('2-Gastronomi'!G184="","",'2-Gastronomi'!G184))</f>
        <v/>
      </c>
      <c r="J387" s="32" t="str">
        <f aca="false">IF($A387="","",IF('2-Gastronomi'!H184="","",'2-Gastronomi'!H184))</f>
        <v/>
      </c>
      <c r="K387" s="32" t="str">
        <f aca="false">IF($A387="","",IF('2-Gastronomi'!I184="","",'2-Gastronomi'!I184))</f>
        <v/>
      </c>
      <c r="L387" s="32" t="str">
        <f aca="false">IF($I387="","",MATCH($I387,{"08.00";"09.00";"10.00";"11.00";"12.00";"13.00";"14.00";"15.00";"16.00";"17.00"},0))</f>
        <v/>
      </c>
      <c r="M387" s="32" t="str">
        <f aca="false">IF(OR($L387="",$J387=""),"",$L387+$J387-1)</f>
        <v/>
      </c>
      <c r="N387" s="32" t="str">
        <f aca="false">IF($A387="","",IF(OR($L387="",$M387=""),"",IF($M387&gt;10,"⚠ Saat Taşıyor","")))</f>
        <v/>
      </c>
      <c r="O387" s="32" t="str">
        <f aca="false">IF($A387="","",IF(OR($G387="",$H387="",$L387=""),"",IF(SUMPRODUCT(($A$7:$A$606&lt;&gt;"")*($G$7:$G$606=$G387)*($H$7:$H$606=$H387)*(ROW($A$7:$A$606)&lt;&gt;387)*($L$7:$L$606&lt;=$M387)*($M$7:$M$606&gt;=$L387))&gt;0,"⚠ Çakışma","OK")))</f>
        <v/>
      </c>
      <c r="P387" s="32" t="str">
        <f aca="false">IF($A387="","",IF(OR($K387="",$H387="",$L387=""),"",IF(SUMPRODUCT(($A$7:$A$606&lt;&gt;"")*($K$7:$K$606=$K387)*($H$7:$H$606=$H387)*(ROW($A$7:$A$606)&lt;&gt;387)*($L$7:$L$606&lt;=$M387)*($M$7:$M$606&gt;=$L387))&gt;0,"⚠ Çakışma","OK")))</f>
        <v/>
      </c>
      <c r="Q387" s="32" t="str">
        <f aca="false">IF($A387="","",IF(OR($E387="",$H387="",$L387=""),"",IF(SUMPRODUCT(($A$7:$A$606&lt;&gt;"")*($E$7:$E$606=$E387)*($H$7:$H$606=$H387)*(ROW($A$7:$A$606)&lt;&gt;387)*($L$7:$L$606&lt;=$M387)*($M$7:$M$606&gt;=$L387))&gt;0,"⚠ Çakışma","OK")))</f>
        <v/>
      </c>
      <c r="R387" s="32" t="str">
        <f aca="false">IF($A387="","",IF(OR($N387&lt;&gt;"",$O387="⚠ Çakışma",$P387="⚠ Çakışma",$Q387="⚠ Çakışma"),"⚠ Kontrol Et","✓ Uygun"))</f>
        <v/>
      </c>
    </row>
    <row r="388" customFormat="false" ht="13.5" hidden="false" customHeight="true" outlineLevel="0" collapsed="false">
      <c r="A388" s="32" t="str">
        <f aca="false">IF('2-Gastronomi'!A185="","","Gastronomi ve Mutfak Sanatları")</f>
        <v/>
      </c>
      <c r="B388" s="32" t="str">
        <f aca="false">IF($A388="","",IF('2-Gastronomi'!A185="","",'2-Gastronomi'!A185))</f>
        <v/>
      </c>
      <c r="C388" s="33" t="str">
        <f aca="false">IF($A388="","",IF('2-Gastronomi'!B185="","",'2-Gastronomi'!B185))</f>
        <v/>
      </c>
      <c r="D388" s="32" t="str">
        <f aca="false">IF($A388="","",IF('2-Gastronomi'!C185="","",'2-Gastronomi'!C185))</f>
        <v/>
      </c>
      <c r="E388" s="32" t="str">
        <f aca="false">IF($A388="","",$A388&amp;"-"&amp;$D388)</f>
        <v/>
      </c>
      <c r="F388" s="32" t="str">
        <f aca="false">IF($A388="","",IF('2-Gastronomi'!D185="","",'2-Gastronomi'!D185))</f>
        <v/>
      </c>
      <c r="G388" s="32" t="str">
        <f aca="false">IF($A388="","",IF('2-Gastronomi'!E185="","",'2-Gastronomi'!E185))</f>
        <v/>
      </c>
      <c r="H388" s="32" t="str">
        <f aca="false">IF($A388="","",IF('2-Gastronomi'!F185="","",'2-Gastronomi'!F185))</f>
        <v/>
      </c>
      <c r="I388" s="32" t="str">
        <f aca="false">IF($A388="","",IF('2-Gastronomi'!G185="","",'2-Gastronomi'!G185))</f>
        <v/>
      </c>
      <c r="J388" s="32" t="str">
        <f aca="false">IF($A388="","",IF('2-Gastronomi'!H185="","",'2-Gastronomi'!H185))</f>
        <v/>
      </c>
      <c r="K388" s="32" t="str">
        <f aca="false">IF($A388="","",IF('2-Gastronomi'!I185="","",'2-Gastronomi'!I185))</f>
        <v/>
      </c>
      <c r="L388" s="32" t="str">
        <f aca="false">IF($I388="","",MATCH($I388,{"08.00";"09.00";"10.00";"11.00";"12.00";"13.00";"14.00";"15.00";"16.00";"17.00"},0))</f>
        <v/>
      </c>
      <c r="M388" s="32" t="str">
        <f aca="false">IF(OR($L388="",$J388=""),"",$L388+$J388-1)</f>
        <v/>
      </c>
      <c r="N388" s="32" t="str">
        <f aca="false">IF($A388="","",IF(OR($L388="",$M388=""),"",IF($M388&gt;10,"⚠ Saat Taşıyor","")))</f>
        <v/>
      </c>
      <c r="O388" s="32" t="str">
        <f aca="false">IF($A388="","",IF(OR($G388="",$H388="",$L388=""),"",IF(SUMPRODUCT(($A$7:$A$606&lt;&gt;"")*($G$7:$G$606=$G388)*($H$7:$H$606=$H388)*(ROW($A$7:$A$606)&lt;&gt;388)*($L$7:$L$606&lt;=$M388)*($M$7:$M$606&gt;=$L388))&gt;0,"⚠ Çakışma","OK")))</f>
        <v/>
      </c>
      <c r="P388" s="32" t="str">
        <f aca="false">IF($A388="","",IF(OR($K388="",$H388="",$L388=""),"",IF(SUMPRODUCT(($A$7:$A$606&lt;&gt;"")*($K$7:$K$606=$K388)*($H$7:$H$606=$H388)*(ROW($A$7:$A$606)&lt;&gt;388)*($L$7:$L$606&lt;=$M388)*($M$7:$M$606&gt;=$L388))&gt;0,"⚠ Çakışma","OK")))</f>
        <v/>
      </c>
      <c r="Q388" s="32" t="str">
        <f aca="false">IF($A388="","",IF(OR($E388="",$H388="",$L388=""),"",IF(SUMPRODUCT(($A$7:$A$606&lt;&gt;"")*($E$7:$E$606=$E388)*($H$7:$H$606=$H388)*(ROW($A$7:$A$606)&lt;&gt;388)*($L$7:$L$606&lt;=$M388)*($M$7:$M$606&gt;=$L388))&gt;0,"⚠ Çakışma","OK")))</f>
        <v/>
      </c>
      <c r="R388" s="32" t="str">
        <f aca="false">IF($A388="","",IF(OR($N388&lt;&gt;"",$O388="⚠ Çakışma",$P388="⚠ Çakışma",$Q388="⚠ Çakışma"),"⚠ Kontrol Et","✓ Uygun"))</f>
        <v/>
      </c>
    </row>
    <row r="389" customFormat="false" ht="13.5" hidden="false" customHeight="true" outlineLevel="0" collapsed="false">
      <c r="A389" s="32" t="str">
        <f aca="false">IF('2-Gastronomi'!A186="","","Gastronomi ve Mutfak Sanatları")</f>
        <v/>
      </c>
      <c r="B389" s="32" t="str">
        <f aca="false">IF($A389="","",IF('2-Gastronomi'!A186="","",'2-Gastronomi'!A186))</f>
        <v/>
      </c>
      <c r="C389" s="33" t="str">
        <f aca="false">IF($A389="","",IF('2-Gastronomi'!B186="","",'2-Gastronomi'!B186))</f>
        <v/>
      </c>
      <c r="D389" s="32" t="str">
        <f aca="false">IF($A389="","",IF('2-Gastronomi'!C186="","",'2-Gastronomi'!C186))</f>
        <v/>
      </c>
      <c r="E389" s="32" t="str">
        <f aca="false">IF($A389="","",$A389&amp;"-"&amp;$D389)</f>
        <v/>
      </c>
      <c r="F389" s="32" t="str">
        <f aca="false">IF($A389="","",IF('2-Gastronomi'!D186="","",'2-Gastronomi'!D186))</f>
        <v/>
      </c>
      <c r="G389" s="32" t="str">
        <f aca="false">IF($A389="","",IF('2-Gastronomi'!E186="","",'2-Gastronomi'!E186))</f>
        <v/>
      </c>
      <c r="H389" s="32" t="str">
        <f aca="false">IF($A389="","",IF('2-Gastronomi'!F186="","",'2-Gastronomi'!F186))</f>
        <v/>
      </c>
      <c r="I389" s="32" t="str">
        <f aca="false">IF($A389="","",IF('2-Gastronomi'!G186="","",'2-Gastronomi'!G186))</f>
        <v/>
      </c>
      <c r="J389" s="32" t="str">
        <f aca="false">IF($A389="","",IF('2-Gastronomi'!H186="","",'2-Gastronomi'!H186))</f>
        <v/>
      </c>
      <c r="K389" s="32" t="str">
        <f aca="false">IF($A389="","",IF('2-Gastronomi'!I186="","",'2-Gastronomi'!I186))</f>
        <v/>
      </c>
      <c r="L389" s="32" t="str">
        <f aca="false">IF($I389="","",MATCH($I389,{"08.00";"09.00";"10.00";"11.00";"12.00";"13.00";"14.00";"15.00";"16.00";"17.00"},0))</f>
        <v/>
      </c>
      <c r="M389" s="32" t="str">
        <f aca="false">IF(OR($L389="",$J389=""),"",$L389+$J389-1)</f>
        <v/>
      </c>
      <c r="N389" s="32" t="str">
        <f aca="false">IF($A389="","",IF(OR($L389="",$M389=""),"",IF($M389&gt;10,"⚠ Saat Taşıyor","")))</f>
        <v/>
      </c>
      <c r="O389" s="32" t="str">
        <f aca="false">IF($A389="","",IF(OR($G389="",$H389="",$L389=""),"",IF(SUMPRODUCT(($A$7:$A$606&lt;&gt;"")*($G$7:$G$606=$G389)*($H$7:$H$606=$H389)*(ROW($A$7:$A$606)&lt;&gt;389)*($L$7:$L$606&lt;=$M389)*($M$7:$M$606&gt;=$L389))&gt;0,"⚠ Çakışma","OK")))</f>
        <v/>
      </c>
      <c r="P389" s="32" t="str">
        <f aca="false">IF($A389="","",IF(OR($K389="",$H389="",$L389=""),"",IF(SUMPRODUCT(($A$7:$A$606&lt;&gt;"")*($K$7:$K$606=$K389)*($H$7:$H$606=$H389)*(ROW($A$7:$A$606)&lt;&gt;389)*($L$7:$L$606&lt;=$M389)*($M$7:$M$606&gt;=$L389))&gt;0,"⚠ Çakışma","OK")))</f>
        <v/>
      </c>
      <c r="Q389" s="32" t="str">
        <f aca="false">IF($A389="","",IF(OR($E389="",$H389="",$L389=""),"",IF(SUMPRODUCT(($A$7:$A$606&lt;&gt;"")*($E$7:$E$606=$E389)*($H$7:$H$606=$H389)*(ROW($A$7:$A$606)&lt;&gt;389)*($L$7:$L$606&lt;=$M389)*($M$7:$M$606&gt;=$L389))&gt;0,"⚠ Çakışma","OK")))</f>
        <v/>
      </c>
      <c r="R389" s="32" t="str">
        <f aca="false">IF($A389="","",IF(OR($N389&lt;&gt;"",$O389="⚠ Çakışma",$P389="⚠ Çakışma",$Q389="⚠ Çakışma"),"⚠ Kontrol Et","✓ Uygun"))</f>
        <v/>
      </c>
    </row>
    <row r="390" customFormat="false" ht="13.5" hidden="false" customHeight="true" outlineLevel="0" collapsed="false">
      <c r="A390" s="32" t="str">
        <f aca="false">IF('2-Gastronomi'!A187="","","Gastronomi ve Mutfak Sanatları")</f>
        <v/>
      </c>
      <c r="B390" s="32" t="str">
        <f aca="false">IF($A390="","",IF('2-Gastronomi'!A187="","",'2-Gastronomi'!A187))</f>
        <v/>
      </c>
      <c r="C390" s="33" t="str">
        <f aca="false">IF($A390="","",IF('2-Gastronomi'!B187="","",'2-Gastronomi'!B187))</f>
        <v/>
      </c>
      <c r="D390" s="32" t="str">
        <f aca="false">IF($A390="","",IF('2-Gastronomi'!C187="","",'2-Gastronomi'!C187))</f>
        <v/>
      </c>
      <c r="E390" s="32" t="str">
        <f aca="false">IF($A390="","",$A390&amp;"-"&amp;$D390)</f>
        <v/>
      </c>
      <c r="F390" s="32" t="str">
        <f aca="false">IF($A390="","",IF('2-Gastronomi'!D187="","",'2-Gastronomi'!D187))</f>
        <v/>
      </c>
      <c r="G390" s="32" t="str">
        <f aca="false">IF($A390="","",IF('2-Gastronomi'!E187="","",'2-Gastronomi'!E187))</f>
        <v/>
      </c>
      <c r="H390" s="32" t="str">
        <f aca="false">IF($A390="","",IF('2-Gastronomi'!F187="","",'2-Gastronomi'!F187))</f>
        <v/>
      </c>
      <c r="I390" s="32" t="str">
        <f aca="false">IF($A390="","",IF('2-Gastronomi'!G187="","",'2-Gastronomi'!G187))</f>
        <v/>
      </c>
      <c r="J390" s="32" t="str">
        <f aca="false">IF($A390="","",IF('2-Gastronomi'!H187="","",'2-Gastronomi'!H187))</f>
        <v/>
      </c>
      <c r="K390" s="32" t="str">
        <f aca="false">IF($A390="","",IF('2-Gastronomi'!I187="","",'2-Gastronomi'!I187))</f>
        <v/>
      </c>
      <c r="L390" s="32" t="str">
        <f aca="false">IF($I390="","",MATCH($I390,{"08.00";"09.00";"10.00";"11.00";"12.00";"13.00";"14.00";"15.00";"16.00";"17.00"},0))</f>
        <v/>
      </c>
      <c r="M390" s="32" t="str">
        <f aca="false">IF(OR($L390="",$J390=""),"",$L390+$J390-1)</f>
        <v/>
      </c>
      <c r="N390" s="32" t="str">
        <f aca="false">IF($A390="","",IF(OR($L390="",$M390=""),"",IF($M390&gt;10,"⚠ Saat Taşıyor","")))</f>
        <v/>
      </c>
      <c r="O390" s="32" t="str">
        <f aca="false">IF($A390="","",IF(OR($G390="",$H390="",$L390=""),"",IF(SUMPRODUCT(($A$7:$A$606&lt;&gt;"")*($G$7:$G$606=$G390)*($H$7:$H$606=$H390)*(ROW($A$7:$A$606)&lt;&gt;390)*($L$7:$L$606&lt;=$M390)*($M$7:$M$606&gt;=$L390))&gt;0,"⚠ Çakışma","OK")))</f>
        <v/>
      </c>
      <c r="P390" s="32" t="str">
        <f aca="false">IF($A390="","",IF(OR($K390="",$H390="",$L390=""),"",IF(SUMPRODUCT(($A$7:$A$606&lt;&gt;"")*($K$7:$K$606=$K390)*($H$7:$H$606=$H390)*(ROW($A$7:$A$606)&lt;&gt;390)*($L$7:$L$606&lt;=$M390)*($M$7:$M$606&gt;=$L390))&gt;0,"⚠ Çakışma","OK")))</f>
        <v/>
      </c>
      <c r="Q390" s="32" t="str">
        <f aca="false">IF($A390="","",IF(OR($E390="",$H390="",$L390=""),"",IF(SUMPRODUCT(($A$7:$A$606&lt;&gt;"")*($E$7:$E$606=$E390)*($H$7:$H$606=$H390)*(ROW($A$7:$A$606)&lt;&gt;390)*($L$7:$L$606&lt;=$M390)*($M$7:$M$606&gt;=$L390))&gt;0,"⚠ Çakışma","OK")))</f>
        <v/>
      </c>
      <c r="R390" s="32" t="str">
        <f aca="false">IF($A390="","",IF(OR($N390&lt;&gt;"",$O390="⚠ Çakışma",$P390="⚠ Çakışma",$Q390="⚠ Çakışma"),"⚠ Kontrol Et","✓ Uygun"))</f>
        <v/>
      </c>
    </row>
    <row r="391" customFormat="false" ht="13.5" hidden="false" customHeight="true" outlineLevel="0" collapsed="false">
      <c r="A391" s="32" t="str">
        <f aca="false">IF('2-Gastronomi'!A188="","","Gastronomi ve Mutfak Sanatları")</f>
        <v/>
      </c>
      <c r="B391" s="32" t="str">
        <f aca="false">IF($A391="","",IF('2-Gastronomi'!A188="","",'2-Gastronomi'!A188))</f>
        <v/>
      </c>
      <c r="C391" s="33" t="str">
        <f aca="false">IF($A391="","",IF('2-Gastronomi'!B188="","",'2-Gastronomi'!B188))</f>
        <v/>
      </c>
      <c r="D391" s="32" t="str">
        <f aca="false">IF($A391="","",IF('2-Gastronomi'!C188="","",'2-Gastronomi'!C188))</f>
        <v/>
      </c>
      <c r="E391" s="32" t="str">
        <f aca="false">IF($A391="","",$A391&amp;"-"&amp;$D391)</f>
        <v/>
      </c>
      <c r="F391" s="32" t="str">
        <f aca="false">IF($A391="","",IF('2-Gastronomi'!D188="","",'2-Gastronomi'!D188))</f>
        <v/>
      </c>
      <c r="G391" s="32" t="str">
        <f aca="false">IF($A391="","",IF('2-Gastronomi'!E188="","",'2-Gastronomi'!E188))</f>
        <v/>
      </c>
      <c r="H391" s="32" t="str">
        <f aca="false">IF($A391="","",IF('2-Gastronomi'!F188="","",'2-Gastronomi'!F188))</f>
        <v/>
      </c>
      <c r="I391" s="32" t="str">
        <f aca="false">IF($A391="","",IF('2-Gastronomi'!G188="","",'2-Gastronomi'!G188))</f>
        <v/>
      </c>
      <c r="J391" s="32" t="str">
        <f aca="false">IF($A391="","",IF('2-Gastronomi'!H188="","",'2-Gastronomi'!H188))</f>
        <v/>
      </c>
      <c r="K391" s="32" t="str">
        <f aca="false">IF($A391="","",IF('2-Gastronomi'!I188="","",'2-Gastronomi'!I188))</f>
        <v/>
      </c>
      <c r="L391" s="32" t="str">
        <f aca="false">IF($I391="","",MATCH($I391,{"08.00";"09.00";"10.00";"11.00";"12.00";"13.00";"14.00";"15.00";"16.00";"17.00"},0))</f>
        <v/>
      </c>
      <c r="M391" s="32" t="str">
        <f aca="false">IF(OR($L391="",$J391=""),"",$L391+$J391-1)</f>
        <v/>
      </c>
      <c r="N391" s="32" t="str">
        <f aca="false">IF($A391="","",IF(OR($L391="",$M391=""),"",IF($M391&gt;10,"⚠ Saat Taşıyor","")))</f>
        <v/>
      </c>
      <c r="O391" s="32" t="str">
        <f aca="false">IF($A391="","",IF(OR($G391="",$H391="",$L391=""),"",IF(SUMPRODUCT(($A$7:$A$606&lt;&gt;"")*($G$7:$G$606=$G391)*($H$7:$H$606=$H391)*(ROW($A$7:$A$606)&lt;&gt;391)*($L$7:$L$606&lt;=$M391)*($M$7:$M$606&gt;=$L391))&gt;0,"⚠ Çakışma","OK")))</f>
        <v/>
      </c>
      <c r="P391" s="32" t="str">
        <f aca="false">IF($A391="","",IF(OR($K391="",$H391="",$L391=""),"",IF(SUMPRODUCT(($A$7:$A$606&lt;&gt;"")*($K$7:$K$606=$K391)*($H$7:$H$606=$H391)*(ROW($A$7:$A$606)&lt;&gt;391)*($L$7:$L$606&lt;=$M391)*($M$7:$M$606&gt;=$L391))&gt;0,"⚠ Çakışma","OK")))</f>
        <v/>
      </c>
      <c r="Q391" s="32" t="str">
        <f aca="false">IF($A391="","",IF(OR($E391="",$H391="",$L391=""),"",IF(SUMPRODUCT(($A$7:$A$606&lt;&gt;"")*($E$7:$E$606=$E391)*($H$7:$H$606=$H391)*(ROW($A$7:$A$606)&lt;&gt;391)*($L$7:$L$606&lt;=$M391)*($M$7:$M$606&gt;=$L391))&gt;0,"⚠ Çakışma","OK")))</f>
        <v/>
      </c>
      <c r="R391" s="32" t="str">
        <f aca="false">IF($A391="","",IF(OR($N391&lt;&gt;"",$O391="⚠ Çakışma",$P391="⚠ Çakışma",$Q391="⚠ Çakışma"),"⚠ Kontrol Et","✓ Uygun"))</f>
        <v/>
      </c>
    </row>
    <row r="392" customFormat="false" ht="13.5" hidden="false" customHeight="true" outlineLevel="0" collapsed="false">
      <c r="A392" s="32" t="str">
        <f aca="false">IF('2-Gastronomi'!A189="","","Gastronomi ve Mutfak Sanatları")</f>
        <v/>
      </c>
      <c r="B392" s="32" t="str">
        <f aca="false">IF($A392="","",IF('2-Gastronomi'!A189="","",'2-Gastronomi'!A189))</f>
        <v/>
      </c>
      <c r="C392" s="33" t="str">
        <f aca="false">IF($A392="","",IF('2-Gastronomi'!B189="","",'2-Gastronomi'!B189))</f>
        <v/>
      </c>
      <c r="D392" s="32" t="str">
        <f aca="false">IF($A392="","",IF('2-Gastronomi'!C189="","",'2-Gastronomi'!C189))</f>
        <v/>
      </c>
      <c r="E392" s="32" t="str">
        <f aca="false">IF($A392="","",$A392&amp;"-"&amp;$D392)</f>
        <v/>
      </c>
      <c r="F392" s="32" t="str">
        <f aca="false">IF($A392="","",IF('2-Gastronomi'!D189="","",'2-Gastronomi'!D189))</f>
        <v/>
      </c>
      <c r="G392" s="32" t="str">
        <f aca="false">IF($A392="","",IF('2-Gastronomi'!E189="","",'2-Gastronomi'!E189))</f>
        <v/>
      </c>
      <c r="H392" s="32" t="str">
        <f aca="false">IF($A392="","",IF('2-Gastronomi'!F189="","",'2-Gastronomi'!F189))</f>
        <v/>
      </c>
      <c r="I392" s="32" t="str">
        <f aca="false">IF($A392="","",IF('2-Gastronomi'!G189="","",'2-Gastronomi'!G189))</f>
        <v/>
      </c>
      <c r="J392" s="32" t="str">
        <f aca="false">IF($A392="","",IF('2-Gastronomi'!H189="","",'2-Gastronomi'!H189))</f>
        <v/>
      </c>
      <c r="K392" s="32" t="str">
        <f aca="false">IF($A392="","",IF('2-Gastronomi'!I189="","",'2-Gastronomi'!I189))</f>
        <v/>
      </c>
      <c r="L392" s="32" t="str">
        <f aca="false">IF($I392="","",MATCH($I392,{"08.00";"09.00";"10.00";"11.00";"12.00";"13.00";"14.00";"15.00";"16.00";"17.00"},0))</f>
        <v/>
      </c>
      <c r="M392" s="32" t="str">
        <f aca="false">IF(OR($L392="",$J392=""),"",$L392+$J392-1)</f>
        <v/>
      </c>
      <c r="N392" s="32" t="str">
        <f aca="false">IF($A392="","",IF(OR($L392="",$M392=""),"",IF($M392&gt;10,"⚠ Saat Taşıyor","")))</f>
        <v/>
      </c>
      <c r="O392" s="32" t="str">
        <f aca="false">IF($A392="","",IF(OR($G392="",$H392="",$L392=""),"",IF(SUMPRODUCT(($A$7:$A$606&lt;&gt;"")*($G$7:$G$606=$G392)*($H$7:$H$606=$H392)*(ROW($A$7:$A$606)&lt;&gt;392)*($L$7:$L$606&lt;=$M392)*($M$7:$M$606&gt;=$L392))&gt;0,"⚠ Çakışma","OK")))</f>
        <v/>
      </c>
      <c r="P392" s="32" t="str">
        <f aca="false">IF($A392="","",IF(OR($K392="",$H392="",$L392=""),"",IF(SUMPRODUCT(($A$7:$A$606&lt;&gt;"")*($K$7:$K$606=$K392)*($H$7:$H$606=$H392)*(ROW($A$7:$A$606)&lt;&gt;392)*($L$7:$L$606&lt;=$M392)*($M$7:$M$606&gt;=$L392))&gt;0,"⚠ Çakışma","OK")))</f>
        <v/>
      </c>
      <c r="Q392" s="32" t="str">
        <f aca="false">IF($A392="","",IF(OR($E392="",$H392="",$L392=""),"",IF(SUMPRODUCT(($A$7:$A$606&lt;&gt;"")*($E$7:$E$606=$E392)*($H$7:$H$606=$H392)*(ROW($A$7:$A$606)&lt;&gt;392)*($L$7:$L$606&lt;=$M392)*($M$7:$M$606&gt;=$L392))&gt;0,"⚠ Çakışma","OK")))</f>
        <v/>
      </c>
      <c r="R392" s="32" t="str">
        <f aca="false">IF($A392="","",IF(OR($N392&lt;&gt;"",$O392="⚠ Çakışma",$P392="⚠ Çakışma",$Q392="⚠ Çakışma"),"⚠ Kontrol Et","✓ Uygun"))</f>
        <v/>
      </c>
    </row>
    <row r="393" customFormat="false" ht="13.5" hidden="false" customHeight="true" outlineLevel="0" collapsed="false">
      <c r="A393" s="32" t="str">
        <f aca="false">IF('2-Gastronomi'!A190="","","Gastronomi ve Mutfak Sanatları")</f>
        <v/>
      </c>
      <c r="B393" s="32" t="str">
        <f aca="false">IF($A393="","",IF('2-Gastronomi'!A190="","",'2-Gastronomi'!A190))</f>
        <v/>
      </c>
      <c r="C393" s="33" t="str">
        <f aca="false">IF($A393="","",IF('2-Gastronomi'!B190="","",'2-Gastronomi'!B190))</f>
        <v/>
      </c>
      <c r="D393" s="32" t="str">
        <f aca="false">IF($A393="","",IF('2-Gastronomi'!C190="","",'2-Gastronomi'!C190))</f>
        <v/>
      </c>
      <c r="E393" s="32" t="str">
        <f aca="false">IF($A393="","",$A393&amp;"-"&amp;$D393)</f>
        <v/>
      </c>
      <c r="F393" s="32" t="str">
        <f aca="false">IF($A393="","",IF('2-Gastronomi'!D190="","",'2-Gastronomi'!D190))</f>
        <v/>
      </c>
      <c r="G393" s="32" t="str">
        <f aca="false">IF($A393="","",IF('2-Gastronomi'!E190="","",'2-Gastronomi'!E190))</f>
        <v/>
      </c>
      <c r="H393" s="32" t="str">
        <f aca="false">IF($A393="","",IF('2-Gastronomi'!F190="","",'2-Gastronomi'!F190))</f>
        <v/>
      </c>
      <c r="I393" s="32" t="str">
        <f aca="false">IF($A393="","",IF('2-Gastronomi'!G190="","",'2-Gastronomi'!G190))</f>
        <v/>
      </c>
      <c r="J393" s="32" t="str">
        <f aca="false">IF($A393="","",IF('2-Gastronomi'!H190="","",'2-Gastronomi'!H190))</f>
        <v/>
      </c>
      <c r="K393" s="32" t="str">
        <f aca="false">IF($A393="","",IF('2-Gastronomi'!I190="","",'2-Gastronomi'!I190))</f>
        <v/>
      </c>
      <c r="L393" s="32" t="str">
        <f aca="false">IF($I393="","",MATCH($I393,{"08.00";"09.00";"10.00";"11.00";"12.00";"13.00";"14.00";"15.00";"16.00";"17.00"},0))</f>
        <v/>
      </c>
      <c r="M393" s="32" t="str">
        <f aca="false">IF(OR($L393="",$J393=""),"",$L393+$J393-1)</f>
        <v/>
      </c>
      <c r="N393" s="32" t="str">
        <f aca="false">IF($A393="","",IF(OR($L393="",$M393=""),"",IF($M393&gt;10,"⚠ Saat Taşıyor","")))</f>
        <v/>
      </c>
      <c r="O393" s="32" t="str">
        <f aca="false">IF($A393="","",IF(OR($G393="",$H393="",$L393=""),"",IF(SUMPRODUCT(($A$7:$A$606&lt;&gt;"")*($G$7:$G$606=$G393)*($H$7:$H$606=$H393)*(ROW($A$7:$A$606)&lt;&gt;393)*($L$7:$L$606&lt;=$M393)*($M$7:$M$606&gt;=$L393))&gt;0,"⚠ Çakışma","OK")))</f>
        <v/>
      </c>
      <c r="P393" s="32" t="str">
        <f aca="false">IF($A393="","",IF(OR($K393="",$H393="",$L393=""),"",IF(SUMPRODUCT(($A$7:$A$606&lt;&gt;"")*($K$7:$K$606=$K393)*($H$7:$H$606=$H393)*(ROW($A$7:$A$606)&lt;&gt;393)*($L$7:$L$606&lt;=$M393)*($M$7:$M$606&gt;=$L393))&gt;0,"⚠ Çakışma","OK")))</f>
        <v/>
      </c>
      <c r="Q393" s="32" t="str">
        <f aca="false">IF($A393="","",IF(OR($E393="",$H393="",$L393=""),"",IF(SUMPRODUCT(($A$7:$A$606&lt;&gt;"")*($E$7:$E$606=$E393)*($H$7:$H$606=$H393)*(ROW($A$7:$A$606)&lt;&gt;393)*($L$7:$L$606&lt;=$M393)*($M$7:$M$606&gt;=$L393))&gt;0,"⚠ Çakışma","OK")))</f>
        <v/>
      </c>
      <c r="R393" s="32" t="str">
        <f aca="false">IF($A393="","",IF(OR($N393&lt;&gt;"",$O393="⚠ Çakışma",$P393="⚠ Çakışma",$Q393="⚠ Çakışma"),"⚠ Kontrol Et","✓ Uygun"))</f>
        <v/>
      </c>
    </row>
    <row r="394" customFormat="false" ht="13.5" hidden="false" customHeight="true" outlineLevel="0" collapsed="false">
      <c r="A394" s="32" t="str">
        <f aca="false">IF('2-Gastronomi'!A191="","","Gastronomi ve Mutfak Sanatları")</f>
        <v/>
      </c>
      <c r="B394" s="32" t="str">
        <f aca="false">IF($A394="","",IF('2-Gastronomi'!A191="","",'2-Gastronomi'!A191))</f>
        <v/>
      </c>
      <c r="C394" s="33" t="str">
        <f aca="false">IF($A394="","",IF('2-Gastronomi'!B191="","",'2-Gastronomi'!B191))</f>
        <v/>
      </c>
      <c r="D394" s="32" t="str">
        <f aca="false">IF($A394="","",IF('2-Gastronomi'!C191="","",'2-Gastronomi'!C191))</f>
        <v/>
      </c>
      <c r="E394" s="32" t="str">
        <f aca="false">IF($A394="","",$A394&amp;"-"&amp;$D394)</f>
        <v/>
      </c>
      <c r="F394" s="32" t="str">
        <f aca="false">IF($A394="","",IF('2-Gastronomi'!D191="","",'2-Gastronomi'!D191))</f>
        <v/>
      </c>
      <c r="G394" s="32" t="str">
        <f aca="false">IF($A394="","",IF('2-Gastronomi'!E191="","",'2-Gastronomi'!E191))</f>
        <v/>
      </c>
      <c r="H394" s="32" t="str">
        <f aca="false">IF($A394="","",IF('2-Gastronomi'!F191="","",'2-Gastronomi'!F191))</f>
        <v/>
      </c>
      <c r="I394" s="32" t="str">
        <f aca="false">IF($A394="","",IF('2-Gastronomi'!G191="","",'2-Gastronomi'!G191))</f>
        <v/>
      </c>
      <c r="J394" s="32" t="str">
        <f aca="false">IF($A394="","",IF('2-Gastronomi'!H191="","",'2-Gastronomi'!H191))</f>
        <v/>
      </c>
      <c r="K394" s="32" t="str">
        <f aca="false">IF($A394="","",IF('2-Gastronomi'!I191="","",'2-Gastronomi'!I191))</f>
        <v/>
      </c>
      <c r="L394" s="32" t="str">
        <f aca="false">IF($I394="","",MATCH($I394,{"08.00";"09.00";"10.00";"11.00";"12.00";"13.00";"14.00";"15.00";"16.00";"17.00"},0))</f>
        <v/>
      </c>
      <c r="M394" s="32" t="str">
        <f aca="false">IF(OR($L394="",$J394=""),"",$L394+$J394-1)</f>
        <v/>
      </c>
      <c r="N394" s="32" t="str">
        <f aca="false">IF($A394="","",IF(OR($L394="",$M394=""),"",IF($M394&gt;10,"⚠ Saat Taşıyor","")))</f>
        <v/>
      </c>
      <c r="O394" s="32" t="str">
        <f aca="false">IF($A394="","",IF(OR($G394="",$H394="",$L394=""),"",IF(SUMPRODUCT(($A$7:$A$606&lt;&gt;"")*($G$7:$G$606=$G394)*($H$7:$H$606=$H394)*(ROW($A$7:$A$606)&lt;&gt;394)*($L$7:$L$606&lt;=$M394)*($M$7:$M$606&gt;=$L394))&gt;0,"⚠ Çakışma","OK")))</f>
        <v/>
      </c>
      <c r="P394" s="32" t="str">
        <f aca="false">IF($A394="","",IF(OR($K394="",$H394="",$L394=""),"",IF(SUMPRODUCT(($A$7:$A$606&lt;&gt;"")*($K$7:$K$606=$K394)*($H$7:$H$606=$H394)*(ROW($A$7:$A$606)&lt;&gt;394)*($L$7:$L$606&lt;=$M394)*($M$7:$M$606&gt;=$L394))&gt;0,"⚠ Çakışma","OK")))</f>
        <v/>
      </c>
      <c r="Q394" s="32" t="str">
        <f aca="false">IF($A394="","",IF(OR($E394="",$H394="",$L394=""),"",IF(SUMPRODUCT(($A$7:$A$606&lt;&gt;"")*($E$7:$E$606=$E394)*($H$7:$H$606=$H394)*(ROW($A$7:$A$606)&lt;&gt;394)*($L$7:$L$606&lt;=$M394)*($M$7:$M$606&gt;=$L394))&gt;0,"⚠ Çakışma","OK")))</f>
        <v/>
      </c>
      <c r="R394" s="32" t="str">
        <f aca="false">IF($A394="","",IF(OR($N394&lt;&gt;"",$O394="⚠ Çakışma",$P394="⚠ Çakışma",$Q394="⚠ Çakışma"),"⚠ Kontrol Et","✓ Uygun"))</f>
        <v/>
      </c>
    </row>
    <row r="395" customFormat="false" ht="13.5" hidden="false" customHeight="true" outlineLevel="0" collapsed="false">
      <c r="A395" s="32" t="str">
        <f aca="false">IF('2-Gastronomi'!A192="","","Gastronomi ve Mutfak Sanatları")</f>
        <v/>
      </c>
      <c r="B395" s="32" t="str">
        <f aca="false">IF($A395="","",IF('2-Gastronomi'!A192="","",'2-Gastronomi'!A192))</f>
        <v/>
      </c>
      <c r="C395" s="33" t="str">
        <f aca="false">IF($A395="","",IF('2-Gastronomi'!B192="","",'2-Gastronomi'!B192))</f>
        <v/>
      </c>
      <c r="D395" s="32" t="str">
        <f aca="false">IF($A395="","",IF('2-Gastronomi'!C192="","",'2-Gastronomi'!C192))</f>
        <v/>
      </c>
      <c r="E395" s="32" t="str">
        <f aca="false">IF($A395="","",$A395&amp;"-"&amp;$D395)</f>
        <v/>
      </c>
      <c r="F395" s="32" t="str">
        <f aca="false">IF($A395="","",IF('2-Gastronomi'!D192="","",'2-Gastronomi'!D192))</f>
        <v/>
      </c>
      <c r="G395" s="32" t="str">
        <f aca="false">IF($A395="","",IF('2-Gastronomi'!E192="","",'2-Gastronomi'!E192))</f>
        <v/>
      </c>
      <c r="H395" s="32" t="str">
        <f aca="false">IF($A395="","",IF('2-Gastronomi'!F192="","",'2-Gastronomi'!F192))</f>
        <v/>
      </c>
      <c r="I395" s="32" t="str">
        <f aca="false">IF($A395="","",IF('2-Gastronomi'!G192="","",'2-Gastronomi'!G192))</f>
        <v/>
      </c>
      <c r="J395" s="32" t="str">
        <f aca="false">IF($A395="","",IF('2-Gastronomi'!H192="","",'2-Gastronomi'!H192))</f>
        <v/>
      </c>
      <c r="K395" s="32" t="str">
        <f aca="false">IF($A395="","",IF('2-Gastronomi'!I192="","",'2-Gastronomi'!I192))</f>
        <v/>
      </c>
      <c r="L395" s="32" t="str">
        <f aca="false">IF($I395="","",MATCH($I395,{"08.00";"09.00";"10.00";"11.00";"12.00";"13.00";"14.00";"15.00";"16.00";"17.00"},0))</f>
        <v/>
      </c>
      <c r="M395" s="32" t="str">
        <f aca="false">IF(OR($L395="",$J395=""),"",$L395+$J395-1)</f>
        <v/>
      </c>
      <c r="N395" s="32" t="str">
        <f aca="false">IF($A395="","",IF(OR($L395="",$M395=""),"",IF($M395&gt;10,"⚠ Saat Taşıyor","")))</f>
        <v/>
      </c>
      <c r="O395" s="32" t="str">
        <f aca="false">IF($A395="","",IF(OR($G395="",$H395="",$L395=""),"",IF(SUMPRODUCT(($A$7:$A$606&lt;&gt;"")*($G$7:$G$606=$G395)*($H$7:$H$606=$H395)*(ROW($A$7:$A$606)&lt;&gt;395)*($L$7:$L$606&lt;=$M395)*($M$7:$M$606&gt;=$L395))&gt;0,"⚠ Çakışma","OK")))</f>
        <v/>
      </c>
      <c r="P395" s="32" t="str">
        <f aca="false">IF($A395="","",IF(OR($K395="",$H395="",$L395=""),"",IF(SUMPRODUCT(($A$7:$A$606&lt;&gt;"")*($K$7:$K$606=$K395)*($H$7:$H$606=$H395)*(ROW($A$7:$A$606)&lt;&gt;395)*($L$7:$L$606&lt;=$M395)*($M$7:$M$606&gt;=$L395))&gt;0,"⚠ Çakışma","OK")))</f>
        <v/>
      </c>
      <c r="Q395" s="32" t="str">
        <f aca="false">IF($A395="","",IF(OR($E395="",$H395="",$L395=""),"",IF(SUMPRODUCT(($A$7:$A$606&lt;&gt;"")*($E$7:$E$606=$E395)*($H$7:$H$606=$H395)*(ROW($A$7:$A$606)&lt;&gt;395)*($L$7:$L$606&lt;=$M395)*($M$7:$M$606&gt;=$L395))&gt;0,"⚠ Çakışma","OK")))</f>
        <v/>
      </c>
      <c r="R395" s="32" t="str">
        <f aca="false">IF($A395="","",IF(OR($N395&lt;&gt;"",$O395="⚠ Çakışma",$P395="⚠ Çakışma",$Q395="⚠ Çakışma"),"⚠ Kontrol Et","✓ Uygun"))</f>
        <v/>
      </c>
    </row>
    <row r="396" customFormat="false" ht="13.5" hidden="false" customHeight="true" outlineLevel="0" collapsed="false">
      <c r="A396" s="32" t="str">
        <f aca="false">IF('2-Gastronomi'!A193="","","Gastronomi ve Mutfak Sanatları")</f>
        <v/>
      </c>
      <c r="B396" s="32" t="str">
        <f aca="false">IF($A396="","",IF('2-Gastronomi'!A193="","",'2-Gastronomi'!A193))</f>
        <v/>
      </c>
      <c r="C396" s="33" t="str">
        <f aca="false">IF($A396="","",IF('2-Gastronomi'!B193="","",'2-Gastronomi'!B193))</f>
        <v/>
      </c>
      <c r="D396" s="32" t="str">
        <f aca="false">IF($A396="","",IF('2-Gastronomi'!C193="","",'2-Gastronomi'!C193))</f>
        <v/>
      </c>
      <c r="E396" s="32" t="str">
        <f aca="false">IF($A396="","",$A396&amp;"-"&amp;$D396)</f>
        <v/>
      </c>
      <c r="F396" s="32" t="str">
        <f aca="false">IF($A396="","",IF('2-Gastronomi'!D193="","",'2-Gastronomi'!D193))</f>
        <v/>
      </c>
      <c r="G396" s="32" t="str">
        <f aca="false">IF($A396="","",IF('2-Gastronomi'!E193="","",'2-Gastronomi'!E193))</f>
        <v/>
      </c>
      <c r="H396" s="32" t="str">
        <f aca="false">IF($A396="","",IF('2-Gastronomi'!F193="","",'2-Gastronomi'!F193))</f>
        <v/>
      </c>
      <c r="I396" s="32" t="str">
        <f aca="false">IF($A396="","",IF('2-Gastronomi'!G193="","",'2-Gastronomi'!G193))</f>
        <v/>
      </c>
      <c r="J396" s="32" t="str">
        <f aca="false">IF($A396="","",IF('2-Gastronomi'!H193="","",'2-Gastronomi'!H193))</f>
        <v/>
      </c>
      <c r="K396" s="32" t="str">
        <f aca="false">IF($A396="","",IF('2-Gastronomi'!I193="","",'2-Gastronomi'!I193))</f>
        <v/>
      </c>
      <c r="L396" s="32" t="str">
        <f aca="false">IF($I396="","",MATCH($I396,{"08.00";"09.00";"10.00";"11.00";"12.00";"13.00";"14.00";"15.00";"16.00";"17.00"},0))</f>
        <v/>
      </c>
      <c r="M396" s="32" t="str">
        <f aca="false">IF(OR($L396="",$J396=""),"",$L396+$J396-1)</f>
        <v/>
      </c>
      <c r="N396" s="32" t="str">
        <f aca="false">IF($A396="","",IF(OR($L396="",$M396=""),"",IF($M396&gt;10,"⚠ Saat Taşıyor","")))</f>
        <v/>
      </c>
      <c r="O396" s="32" t="str">
        <f aca="false">IF($A396="","",IF(OR($G396="",$H396="",$L396=""),"",IF(SUMPRODUCT(($A$7:$A$606&lt;&gt;"")*($G$7:$G$606=$G396)*($H$7:$H$606=$H396)*(ROW($A$7:$A$606)&lt;&gt;396)*($L$7:$L$606&lt;=$M396)*($M$7:$M$606&gt;=$L396))&gt;0,"⚠ Çakışma","OK")))</f>
        <v/>
      </c>
      <c r="P396" s="32" t="str">
        <f aca="false">IF($A396="","",IF(OR($K396="",$H396="",$L396=""),"",IF(SUMPRODUCT(($A$7:$A$606&lt;&gt;"")*($K$7:$K$606=$K396)*($H$7:$H$606=$H396)*(ROW($A$7:$A$606)&lt;&gt;396)*($L$7:$L$606&lt;=$M396)*($M$7:$M$606&gt;=$L396))&gt;0,"⚠ Çakışma","OK")))</f>
        <v/>
      </c>
      <c r="Q396" s="32" t="str">
        <f aca="false">IF($A396="","",IF(OR($E396="",$H396="",$L396=""),"",IF(SUMPRODUCT(($A$7:$A$606&lt;&gt;"")*($E$7:$E$606=$E396)*($H$7:$H$606=$H396)*(ROW($A$7:$A$606)&lt;&gt;396)*($L$7:$L$606&lt;=$M396)*($M$7:$M$606&gt;=$L396))&gt;0,"⚠ Çakışma","OK")))</f>
        <v/>
      </c>
      <c r="R396" s="32" t="str">
        <f aca="false">IF($A396="","",IF(OR($N396&lt;&gt;"",$O396="⚠ Çakışma",$P396="⚠ Çakışma",$Q396="⚠ Çakışma"),"⚠ Kontrol Et","✓ Uygun"))</f>
        <v/>
      </c>
    </row>
    <row r="397" customFormat="false" ht="13.5" hidden="false" customHeight="true" outlineLevel="0" collapsed="false">
      <c r="A397" s="32" t="str">
        <f aca="false">IF('2-Gastronomi'!A194="","","Gastronomi ve Mutfak Sanatları")</f>
        <v/>
      </c>
      <c r="B397" s="32" t="str">
        <f aca="false">IF($A397="","",IF('2-Gastronomi'!A194="","",'2-Gastronomi'!A194))</f>
        <v/>
      </c>
      <c r="C397" s="33" t="str">
        <f aca="false">IF($A397="","",IF('2-Gastronomi'!B194="","",'2-Gastronomi'!B194))</f>
        <v/>
      </c>
      <c r="D397" s="32" t="str">
        <f aca="false">IF($A397="","",IF('2-Gastronomi'!C194="","",'2-Gastronomi'!C194))</f>
        <v/>
      </c>
      <c r="E397" s="32" t="str">
        <f aca="false">IF($A397="","",$A397&amp;"-"&amp;$D397)</f>
        <v/>
      </c>
      <c r="F397" s="32" t="str">
        <f aca="false">IF($A397="","",IF('2-Gastronomi'!D194="","",'2-Gastronomi'!D194))</f>
        <v/>
      </c>
      <c r="G397" s="32" t="str">
        <f aca="false">IF($A397="","",IF('2-Gastronomi'!E194="","",'2-Gastronomi'!E194))</f>
        <v/>
      </c>
      <c r="H397" s="32" t="str">
        <f aca="false">IF($A397="","",IF('2-Gastronomi'!F194="","",'2-Gastronomi'!F194))</f>
        <v/>
      </c>
      <c r="I397" s="32" t="str">
        <f aca="false">IF($A397="","",IF('2-Gastronomi'!G194="","",'2-Gastronomi'!G194))</f>
        <v/>
      </c>
      <c r="J397" s="32" t="str">
        <f aca="false">IF($A397="","",IF('2-Gastronomi'!H194="","",'2-Gastronomi'!H194))</f>
        <v/>
      </c>
      <c r="K397" s="32" t="str">
        <f aca="false">IF($A397="","",IF('2-Gastronomi'!I194="","",'2-Gastronomi'!I194))</f>
        <v/>
      </c>
      <c r="L397" s="32" t="str">
        <f aca="false">IF($I397="","",MATCH($I397,{"08.00";"09.00";"10.00";"11.00";"12.00";"13.00";"14.00";"15.00";"16.00";"17.00"},0))</f>
        <v/>
      </c>
      <c r="M397" s="32" t="str">
        <f aca="false">IF(OR($L397="",$J397=""),"",$L397+$J397-1)</f>
        <v/>
      </c>
      <c r="N397" s="32" t="str">
        <f aca="false">IF($A397="","",IF(OR($L397="",$M397=""),"",IF($M397&gt;10,"⚠ Saat Taşıyor","")))</f>
        <v/>
      </c>
      <c r="O397" s="32" t="str">
        <f aca="false">IF($A397="","",IF(OR($G397="",$H397="",$L397=""),"",IF(SUMPRODUCT(($A$7:$A$606&lt;&gt;"")*($G$7:$G$606=$G397)*($H$7:$H$606=$H397)*(ROW($A$7:$A$606)&lt;&gt;397)*($L$7:$L$606&lt;=$M397)*($M$7:$M$606&gt;=$L397))&gt;0,"⚠ Çakışma","OK")))</f>
        <v/>
      </c>
      <c r="P397" s="32" t="str">
        <f aca="false">IF($A397="","",IF(OR($K397="",$H397="",$L397=""),"",IF(SUMPRODUCT(($A$7:$A$606&lt;&gt;"")*($K$7:$K$606=$K397)*($H$7:$H$606=$H397)*(ROW($A$7:$A$606)&lt;&gt;397)*($L$7:$L$606&lt;=$M397)*($M$7:$M$606&gt;=$L397))&gt;0,"⚠ Çakışma","OK")))</f>
        <v/>
      </c>
      <c r="Q397" s="32" t="str">
        <f aca="false">IF($A397="","",IF(OR($E397="",$H397="",$L397=""),"",IF(SUMPRODUCT(($A$7:$A$606&lt;&gt;"")*($E$7:$E$606=$E397)*($H$7:$H$606=$H397)*(ROW($A$7:$A$606)&lt;&gt;397)*($L$7:$L$606&lt;=$M397)*($M$7:$M$606&gt;=$L397))&gt;0,"⚠ Çakışma","OK")))</f>
        <v/>
      </c>
      <c r="R397" s="32" t="str">
        <f aca="false">IF($A397="","",IF(OR($N397&lt;&gt;"",$O397="⚠ Çakışma",$P397="⚠ Çakışma",$Q397="⚠ Çakışma"),"⚠ Kontrol Et","✓ Uygun"))</f>
        <v/>
      </c>
    </row>
    <row r="398" customFormat="false" ht="13.5" hidden="false" customHeight="true" outlineLevel="0" collapsed="false">
      <c r="A398" s="32" t="str">
        <f aca="false">IF('2-Gastronomi'!A195="","","Gastronomi ve Mutfak Sanatları")</f>
        <v/>
      </c>
      <c r="B398" s="32" t="str">
        <f aca="false">IF($A398="","",IF('2-Gastronomi'!A195="","",'2-Gastronomi'!A195))</f>
        <v/>
      </c>
      <c r="C398" s="33" t="str">
        <f aca="false">IF($A398="","",IF('2-Gastronomi'!B195="","",'2-Gastronomi'!B195))</f>
        <v/>
      </c>
      <c r="D398" s="32" t="str">
        <f aca="false">IF($A398="","",IF('2-Gastronomi'!C195="","",'2-Gastronomi'!C195))</f>
        <v/>
      </c>
      <c r="E398" s="32" t="str">
        <f aca="false">IF($A398="","",$A398&amp;"-"&amp;$D398)</f>
        <v/>
      </c>
      <c r="F398" s="32" t="str">
        <f aca="false">IF($A398="","",IF('2-Gastronomi'!D195="","",'2-Gastronomi'!D195))</f>
        <v/>
      </c>
      <c r="G398" s="32" t="str">
        <f aca="false">IF($A398="","",IF('2-Gastronomi'!E195="","",'2-Gastronomi'!E195))</f>
        <v/>
      </c>
      <c r="H398" s="32" t="str">
        <f aca="false">IF($A398="","",IF('2-Gastronomi'!F195="","",'2-Gastronomi'!F195))</f>
        <v/>
      </c>
      <c r="I398" s="32" t="str">
        <f aca="false">IF($A398="","",IF('2-Gastronomi'!G195="","",'2-Gastronomi'!G195))</f>
        <v/>
      </c>
      <c r="J398" s="32" t="str">
        <f aca="false">IF($A398="","",IF('2-Gastronomi'!H195="","",'2-Gastronomi'!H195))</f>
        <v/>
      </c>
      <c r="K398" s="32" t="str">
        <f aca="false">IF($A398="","",IF('2-Gastronomi'!I195="","",'2-Gastronomi'!I195))</f>
        <v/>
      </c>
      <c r="L398" s="32" t="str">
        <f aca="false">IF($I398="","",MATCH($I398,{"08.00";"09.00";"10.00";"11.00";"12.00";"13.00";"14.00";"15.00";"16.00";"17.00"},0))</f>
        <v/>
      </c>
      <c r="M398" s="32" t="str">
        <f aca="false">IF(OR($L398="",$J398=""),"",$L398+$J398-1)</f>
        <v/>
      </c>
      <c r="N398" s="32" t="str">
        <f aca="false">IF($A398="","",IF(OR($L398="",$M398=""),"",IF($M398&gt;10,"⚠ Saat Taşıyor","")))</f>
        <v/>
      </c>
      <c r="O398" s="32" t="str">
        <f aca="false">IF($A398="","",IF(OR($G398="",$H398="",$L398=""),"",IF(SUMPRODUCT(($A$7:$A$606&lt;&gt;"")*($G$7:$G$606=$G398)*($H$7:$H$606=$H398)*(ROW($A$7:$A$606)&lt;&gt;398)*($L$7:$L$606&lt;=$M398)*($M$7:$M$606&gt;=$L398))&gt;0,"⚠ Çakışma","OK")))</f>
        <v/>
      </c>
      <c r="P398" s="32" t="str">
        <f aca="false">IF($A398="","",IF(OR($K398="",$H398="",$L398=""),"",IF(SUMPRODUCT(($A$7:$A$606&lt;&gt;"")*($K$7:$K$606=$K398)*($H$7:$H$606=$H398)*(ROW($A$7:$A$606)&lt;&gt;398)*($L$7:$L$606&lt;=$M398)*($M$7:$M$606&gt;=$L398))&gt;0,"⚠ Çakışma","OK")))</f>
        <v/>
      </c>
      <c r="Q398" s="32" t="str">
        <f aca="false">IF($A398="","",IF(OR($E398="",$H398="",$L398=""),"",IF(SUMPRODUCT(($A$7:$A$606&lt;&gt;"")*($E$7:$E$606=$E398)*($H$7:$H$606=$H398)*(ROW($A$7:$A$606)&lt;&gt;398)*($L$7:$L$606&lt;=$M398)*($M$7:$M$606&gt;=$L398))&gt;0,"⚠ Çakışma","OK")))</f>
        <v/>
      </c>
      <c r="R398" s="32" t="str">
        <f aca="false">IF($A398="","",IF(OR($N398&lt;&gt;"",$O398="⚠ Çakışma",$P398="⚠ Çakışma",$Q398="⚠ Çakışma"),"⚠ Kontrol Et","✓ Uygun"))</f>
        <v/>
      </c>
    </row>
    <row r="399" customFormat="false" ht="13.5" hidden="false" customHeight="true" outlineLevel="0" collapsed="false">
      <c r="A399" s="32" t="str">
        <f aca="false">IF('2-Gastronomi'!A196="","","Gastronomi ve Mutfak Sanatları")</f>
        <v/>
      </c>
      <c r="B399" s="32" t="str">
        <f aca="false">IF($A399="","",IF('2-Gastronomi'!A196="","",'2-Gastronomi'!A196))</f>
        <v/>
      </c>
      <c r="C399" s="33" t="str">
        <f aca="false">IF($A399="","",IF('2-Gastronomi'!B196="","",'2-Gastronomi'!B196))</f>
        <v/>
      </c>
      <c r="D399" s="32" t="str">
        <f aca="false">IF($A399="","",IF('2-Gastronomi'!C196="","",'2-Gastronomi'!C196))</f>
        <v/>
      </c>
      <c r="E399" s="32" t="str">
        <f aca="false">IF($A399="","",$A399&amp;"-"&amp;$D399)</f>
        <v/>
      </c>
      <c r="F399" s="32" t="str">
        <f aca="false">IF($A399="","",IF('2-Gastronomi'!D196="","",'2-Gastronomi'!D196))</f>
        <v/>
      </c>
      <c r="G399" s="32" t="str">
        <f aca="false">IF($A399="","",IF('2-Gastronomi'!E196="","",'2-Gastronomi'!E196))</f>
        <v/>
      </c>
      <c r="H399" s="32" t="str">
        <f aca="false">IF($A399="","",IF('2-Gastronomi'!F196="","",'2-Gastronomi'!F196))</f>
        <v/>
      </c>
      <c r="I399" s="32" t="str">
        <f aca="false">IF($A399="","",IF('2-Gastronomi'!G196="","",'2-Gastronomi'!G196))</f>
        <v/>
      </c>
      <c r="J399" s="32" t="str">
        <f aca="false">IF($A399="","",IF('2-Gastronomi'!H196="","",'2-Gastronomi'!H196))</f>
        <v/>
      </c>
      <c r="K399" s="32" t="str">
        <f aca="false">IF($A399="","",IF('2-Gastronomi'!I196="","",'2-Gastronomi'!I196))</f>
        <v/>
      </c>
      <c r="L399" s="32" t="str">
        <f aca="false">IF($I399="","",MATCH($I399,{"08.00";"09.00";"10.00";"11.00";"12.00";"13.00";"14.00";"15.00";"16.00";"17.00"},0))</f>
        <v/>
      </c>
      <c r="M399" s="32" t="str">
        <f aca="false">IF(OR($L399="",$J399=""),"",$L399+$J399-1)</f>
        <v/>
      </c>
      <c r="N399" s="32" t="str">
        <f aca="false">IF($A399="","",IF(OR($L399="",$M399=""),"",IF($M399&gt;10,"⚠ Saat Taşıyor","")))</f>
        <v/>
      </c>
      <c r="O399" s="32" t="str">
        <f aca="false">IF($A399="","",IF(OR($G399="",$H399="",$L399=""),"",IF(SUMPRODUCT(($A$7:$A$606&lt;&gt;"")*($G$7:$G$606=$G399)*($H$7:$H$606=$H399)*(ROW($A$7:$A$606)&lt;&gt;399)*($L$7:$L$606&lt;=$M399)*($M$7:$M$606&gt;=$L399))&gt;0,"⚠ Çakışma","OK")))</f>
        <v/>
      </c>
      <c r="P399" s="32" t="str">
        <f aca="false">IF($A399="","",IF(OR($K399="",$H399="",$L399=""),"",IF(SUMPRODUCT(($A$7:$A$606&lt;&gt;"")*($K$7:$K$606=$K399)*($H$7:$H$606=$H399)*(ROW($A$7:$A$606)&lt;&gt;399)*($L$7:$L$606&lt;=$M399)*($M$7:$M$606&gt;=$L399))&gt;0,"⚠ Çakışma","OK")))</f>
        <v/>
      </c>
      <c r="Q399" s="32" t="str">
        <f aca="false">IF($A399="","",IF(OR($E399="",$H399="",$L399=""),"",IF(SUMPRODUCT(($A$7:$A$606&lt;&gt;"")*($E$7:$E$606=$E399)*($H$7:$H$606=$H399)*(ROW($A$7:$A$606)&lt;&gt;399)*($L$7:$L$606&lt;=$M399)*($M$7:$M$606&gt;=$L399))&gt;0,"⚠ Çakışma","OK")))</f>
        <v/>
      </c>
      <c r="R399" s="32" t="str">
        <f aca="false">IF($A399="","",IF(OR($N399&lt;&gt;"",$O399="⚠ Çakışma",$P399="⚠ Çakışma",$Q399="⚠ Çakışma"),"⚠ Kontrol Et","✓ Uygun"))</f>
        <v/>
      </c>
    </row>
    <row r="400" customFormat="false" ht="13.5" hidden="false" customHeight="true" outlineLevel="0" collapsed="false">
      <c r="A400" s="32" t="str">
        <f aca="false">IF('2-Gastronomi'!A197="","","Gastronomi ve Mutfak Sanatları")</f>
        <v/>
      </c>
      <c r="B400" s="32" t="str">
        <f aca="false">IF($A400="","",IF('2-Gastronomi'!A197="","",'2-Gastronomi'!A197))</f>
        <v/>
      </c>
      <c r="C400" s="33" t="str">
        <f aca="false">IF($A400="","",IF('2-Gastronomi'!B197="","",'2-Gastronomi'!B197))</f>
        <v/>
      </c>
      <c r="D400" s="32" t="str">
        <f aca="false">IF($A400="","",IF('2-Gastronomi'!C197="","",'2-Gastronomi'!C197))</f>
        <v/>
      </c>
      <c r="E400" s="32" t="str">
        <f aca="false">IF($A400="","",$A400&amp;"-"&amp;$D400)</f>
        <v/>
      </c>
      <c r="F400" s="32" t="str">
        <f aca="false">IF($A400="","",IF('2-Gastronomi'!D197="","",'2-Gastronomi'!D197))</f>
        <v/>
      </c>
      <c r="G400" s="32" t="str">
        <f aca="false">IF($A400="","",IF('2-Gastronomi'!E197="","",'2-Gastronomi'!E197))</f>
        <v/>
      </c>
      <c r="H400" s="32" t="str">
        <f aca="false">IF($A400="","",IF('2-Gastronomi'!F197="","",'2-Gastronomi'!F197))</f>
        <v/>
      </c>
      <c r="I400" s="32" t="str">
        <f aca="false">IF($A400="","",IF('2-Gastronomi'!G197="","",'2-Gastronomi'!G197))</f>
        <v/>
      </c>
      <c r="J400" s="32" t="str">
        <f aca="false">IF($A400="","",IF('2-Gastronomi'!H197="","",'2-Gastronomi'!H197))</f>
        <v/>
      </c>
      <c r="K400" s="32" t="str">
        <f aca="false">IF($A400="","",IF('2-Gastronomi'!I197="","",'2-Gastronomi'!I197))</f>
        <v/>
      </c>
      <c r="L400" s="32" t="str">
        <f aca="false">IF($I400="","",MATCH($I400,{"08.00";"09.00";"10.00";"11.00";"12.00";"13.00";"14.00";"15.00";"16.00";"17.00"},0))</f>
        <v/>
      </c>
      <c r="M400" s="32" t="str">
        <f aca="false">IF(OR($L400="",$J400=""),"",$L400+$J400-1)</f>
        <v/>
      </c>
      <c r="N400" s="32" t="str">
        <f aca="false">IF($A400="","",IF(OR($L400="",$M400=""),"",IF($M400&gt;10,"⚠ Saat Taşıyor","")))</f>
        <v/>
      </c>
      <c r="O400" s="32" t="str">
        <f aca="false">IF($A400="","",IF(OR($G400="",$H400="",$L400=""),"",IF(SUMPRODUCT(($A$7:$A$606&lt;&gt;"")*($G$7:$G$606=$G400)*($H$7:$H$606=$H400)*(ROW($A$7:$A$606)&lt;&gt;400)*($L$7:$L$606&lt;=$M400)*($M$7:$M$606&gt;=$L400))&gt;0,"⚠ Çakışma","OK")))</f>
        <v/>
      </c>
      <c r="P400" s="32" t="str">
        <f aca="false">IF($A400="","",IF(OR($K400="",$H400="",$L400=""),"",IF(SUMPRODUCT(($A$7:$A$606&lt;&gt;"")*($K$7:$K$606=$K400)*($H$7:$H$606=$H400)*(ROW($A$7:$A$606)&lt;&gt;400)*($L$7:$L$606&lt;=$M400)*($M$7:$M$606&gt;=$L400))&gt;0,"⚠ Çakışma","OK")))</f>
        <v/>
      </c>
      <c r="Q400" s="32" t="str">
        <f aca="false">IF($A400="","",IF(OR($E400="",$H400="",$L400=""),"",IF(SUMPRODUCT(($A$7:$A$606&lt;&gt;"")*($E$7:$E$606=$E400)*($H$7:$H$606=$H400)*(ROW($A$7:$A$606)&lt;&gt;400)*($L$7:$L$606&lt;=$M400)*($M$7:$M$606&gt;=$L400))&gt;0,"⚠ Çakışma","OK")))</f>
        <v/>
      </c>
      <c r="R400" s="32" t="str">
        <f aca="false">IF($A400="","",IF(OR($N400&lt;&gt;"",$O400="⚠ Çakışma",$P400="⚠ Çakışma",$Q400="⚠ Çakışma"),"⚠ Kontrol Et","✓ Uygun"))</f>
        <v/>
      </c>
    </row>
    <row r="401" customFormat="false" ht="13.5" hidden="false" customHeight="true" outlineLevel="0" collapsed="false">
      <c r="A401" s="32" t="str">
        <f aca="false">IF('2-Gastronomi'!A198="","","Gastronomi ve Mutfak Sanatları")</f>
        <v/>
      </c>
      <c r="B401" s="32" t="str">
        <f aca="false">IF($A401="","",IF('2-Gastronomi'!A198="","",'2-Gastronomi'!A198))</f>
        <v/>
      </c>
      <c r="C401" s="33" t="str">
        <f aca="false">IF($A401="","",IF('2-Gastronomi'!B198="","",'2-Gastronomi'!B198))</f>
        <v/>
      </c>
      <c r="D401" s="32" t="str">
        <f aca="false">IF($A401="","",IF('2-Gastronomi'!C198="","",'2-Gastronomi'!C198))</f>
        <v/>
      </c>
      <c r="E401" s="32" t="str">
        <f aca="false">IF($A401="","",$A401&amp;"-"&amp;$D401)</f>
        <v/>
      </c>
      <c r="F401" s="32" t="str">
        <f aca="false">IF($A401="","",IF('2-Gastronomi'!D198="","",'2-Gastronomi'!D198))</f>
        <v/>
      </c>
      <c r="G401" s="32" t="str">
        <f aca="false">IF($A401="","",IF('2-Gastronomi'!E198="","",'2-Gastronomi'!E198))</f>
        <v/>
      </c>
      <c r="H401" s="32" t="str">
        <f aca="false">IF($A401="","",IF('2-Gastronomi'!F198="","",'2-Gastronomi'!F198))</f>
        <v/>
      </c>
      <c r="I401" s="32" t="str">
        <f aca="false">IF($A401="","",IF('2-Gastronomi'!G198="","",'2-Gastronomi'!G198))</f>
        <v/>
      </c>
      <c r="J401" s="32" t="str">
        <f aca="false">IF($A401="","",IF('2-Gastronomi'!H198="","",'2-Gastronomi'!H198))</f>
        <v/>
      </c>
      <c r="K401" s="32" t="str">
        <f aca="false">IF($A401="","",IF('2-Gastronomi'!I198="","",'2-Gastronomi'!I198))</f>
        <v/>
      </c>
      <c r="L401" s="32" t="str">
        <f aca="false">IF($I401="","",MATCH($I401,{"08.00";"09.00";"10.00";"11.00";"12.00";"13.00";"14.00";"15.00";"16.00";"17.00"},0))</f>
        <v/>
      </c>
      <c r="M401" s="32" t="str">
        <f aca="false">IF(OR($L401="",$J401=""),"",$L401+$J401-1)</f>
        <v/>
      </c>
      <c r="N401" s="32" t="str">
        <f aca="false">IF($A401="","",IF(OR($L401="",$M401=""),"",IF($M401&gt;10,"⚠ Saat Taşıyor","")))</f>
        <v/>
      </c>
      <c r="O401" s="32" t="str">
        <f aca="false">IF($A401="","",IF(OR($G401="",$H401="",$L401=""),"",IF(SUMPRODUCT(($A$7:$A$606&lt;&gt;"")*($G$7:$G$606=$G401)*($H$7:$H$606=$H401)*(ROW($A$7:$A$606)&lt;&gt;401)*($L$7:$L$606&lt;=$M401)*($M$7:$M$606&gt;=$L401))&gt;0,"⚠ Çakışma","OK")))</f>
        <v/>
      </c>
      <c r="P401" s="32" t="str">
        <f aca="false">IF($A401="","",IF(OR($K401="",$H401="",$L401=""),"",IF(SUMPRODUCT(($A$7:$A$606&lt;&gt;"")*($K$7:$K$606=$K401)*($H$7:$H$606=$H401)*(ROW($A$7:$A$606)&lt;&gt;401)*($L$7:$L$606&lt;=$M401)*($M$7:$M$606&gt;=$L401))&gt;0,"⚠ Çakışma","OK")))</f>
        <v/>
      </c>
      <c r="Q401" s="32" t="str">
        <f aca="false">IF($A401="","",IF(OR($E401="",$H401="",$L401=""),"",IF(SUMPRODUCT(($A$7:$A$606&lt;&gt;"")*($E$7:$E$606=$E401)*($H$7:$H$606=$H401)*(ROW($A$7:$A$606)&lt;&gt;401)*($L$7:$L$606&lt;=$M401)*($M$7:$M$606&gt;=$L401))&gt;0,"⚠ Çakışma","OK")))</f>
        <v/>
      </c>
      <c r="R401" s="32" t="str">
        <f aca="false">IF($A401="","",IF(OR($N401&lt;&gt;"",$O401="⚠ Çakışma",$P401="⚠ Çakışma",$Q401="⚠ Çakışma"),"⚠ Kontrol Et","✓ Uygun"))</f>
        <v/>
      </c>
    </row>
    <row r="402" customFormat="false" ht="13.5" hidden="false" customHeight="true" outlineLevel="0" collapsed="false">
      <c r="A402" s="32" t="str">
        <f aca="false">IF('2-Gastronomi'!A199="","","Gastronomi ve Mutfak Sanatları")</f>
        <v/>
      </c>
      <c r="B402" s="32" t="str">
        <f aca="false">IF($A402="","",IF('2-Gastronomi'!A199="","",'2-Gastronomi'!A199))</f>
        <v/>
      </c>
      <c r="C402" s="33" t="str">
        <f aca="false">IF($A402="","",IF('2-Gastronomi'!B199="","",'2-Gastronomi'!B199))</f>
        <v/>
      </c>
      <c r="D402" s="32" t="str">
        <f aca="false">IF($A402="","",IF('2-Gastronomi'!C199="","",'2-Gastronomi'!C199))</f>
        <v/>
      </c>
      <c r="E402" s="32" t="str">
        <f aca="false">IF($A402="","",$A402&amp;"-"&amp;$D402)</f>
        <v/>
      </c>
      <c r="F402" s="32" t="str">
        <f aca="false">IF($A402="","",IF('2-Gastronomi'!D199="","",'2-Gastronomi'!D199))</f>
        <v/>
      </c>
      <c r="G402" s="32" t="str">
        <f aca="false">IF($A402="","",IF('2-Gastronomi'!E199="","",'2-Gastronomi'!E199))</f>
        <v/>
      </c>
      <c r="H402" s="32" t="str">
        <f aca="false">IF($A402="","",IF('2-Gastronomi'!F199="","",'2-Gastronomi'!F199))</f>
        <v/>
      </c>
      <c r="I402" s="32" t="str">
        <f aca="false">IF($A402="","",IF('2-Gastronomi'!G199="","",'2-Gastronomi'!G199))</f>
        <v/>
      </c>
      <c r="J402" s="32" t="str">
        <f aca="false">IF($A402="","",IF('2-Gastronomi'!H199="","",'2-Gastronomi'!H199))</f>
        <v/>
      </c>
      <c r="K402" s="32" t="str">
        <f aca="false">IF($A402="","",IF('2-Gastronomi'!I199="","",'2-Gastronomi'!I199))</f>
        <v/>
      </c>
      <c r="L402" s="32" t="str">
        <f aca="false">IF($I402="","",MATCH($I402,{"08.00";"09.00";"10.00";"11.00";"12.00";"13.00";"14.00";"15.00";"16.00";"17.00"},0))</f>
        <v/>
      </c>
      <c r="M402" s="32" t="str">
        <f aca="false">IF(OR($L402="",$J402=""),"",$L402+$J402-1)</f>
        <v/>
      </c>
      <c r="N402" s="32" t="str">
        <f aca="false">IF($A402="","",IF(OR($L402="",$M402=""),"",IF($M402&gt;10,"⚠ Saat Taşıyor","")))</f>
        <v/>
      </c>
      <c r="O402" s="32" t="str">
        <f aca="false">IF($A402="","",IF(OR($G402="",$H402="",$L402=""),"",IF(SUMPRODUCT(($A$7:$A$606&lt;&gt;"")*($G$7:$G$606=$G402)*($H$7:$H$606=$H402)*(ROW($A$7:$A$606)&lt;&gt;402)*($L$7:$L$606&lt;=$M402)*($M$7:$M$606&gt;=$L402))&gt;0,"⚠ Çakışma","OK")))</f>
        <v/>
      </c>
      <c r="P402" s="32" t="str">
        <f aca="false">IF($A402="","",IF(OR($K402="",$H402="",$L402=""),"",IF(SUMPRODUCT(($A$7:$A$606&lt;&gt;"")*($K$7:$K$606=$K402)*($H$7:$H$606=$H402)*(ROW($A$7:$A$606)&lt;&gt;402)*($L$7:$L$606&lt;=$M402)*($M$7:$M$606&gt;=$L402))&gt;0,"⚠ Çakışma","OK")))</f>
        <v/>
      </c>
      <c r="Q402" s="32" t="str">
        <f aca="false">IF($A402="","",IF(OR($E402="",$H402="",$L402=""),"",IF(SUMPRODUCT(($A$7:$A$606&lt;&gt;"")*($E$7:$E$606=$E402)*($H$7:$H$606=$H402)*(ROW($A$7:$A$606)&lt;&gt;402)*($L$7:$L$606&lt;=$M402)*($M$7:$M$606&gt;=$L402))&gt;0,"⚠ Çakışma","OK")))</f>
        <v/>
      </c>
      <c r="R402" s="32" t="str">
        <f aca="false">IF($A402="","",IF(OR($N402&lt;&gt;"",$O402="⚠ Çakışma",$P402="⚠ Çakışma",$Q402="⚠ Çakışma"),"⚠ Kontrol Et","✓ Uygun"))</f>
        <v/>
      </c>
    </row>
    <row r="403" customFormat="false" ht="13.5" hidden="false" customHeight="true" outlineLevel="0" collapsed="false">
      <c r="A403" s="32" t="str">
        <f aca="false">IF('2-Gastronomi'!A200="","","Gastronomi ve Mutfak Sanatları")</f>
        <v/>
      </c>
      <c r="B403" s="32" t="str">
        <f aca="false">IF($A403="","",IF('2-Gastronomi'!A200="","",'2-Gastronomi'!A200))</f>
        <v/>
      </c>
      <c r="C403" s="33" t="str">
        <f aca="false">IF($A403="","",IF('2-Gastronomi'!B200="","",'2-Gastronomi'!B200))</f>
        <v/>
      </c>
      <c r="D403" s="32" t="str">
        <f aca="false">IF($A403="","",IF('2-Gastronomi'!C200="","",'2-Gastronomi'!C200))</f>
        <v/>
      </c>
      <c r="E403" s="32" t="str">
        <f aca="false">IF($A403="","",$A403&amp;"-"&amp;$D403)</f>
        <v/>
      </c>
      <c r="F403" s="32" t="str">
        <f aca="false">IF($A403="","",IF('2-Gastronomi'!D200="","",'2-Gastronomi'!D200))</f>
        <v/>
      </c>
      <c r="G403" s="32" t="str">
        <f aca="false">IF($A403="","",IF('2-Gastronomi'!E200="","",'2-Gastronomi'!E200))</f>
        <v/>
      </c>
      <c r="H403" s="32" t="str">
        <f aca="false">IF($A403="","",IF('2-Gastronomi'!F200="","",'2-Gastronomi'!F200))</f>
        <v/>
      </c>
      <c r="I403" s="32" t="str">
        <f aca="false">IF($A403="","",IF('2-Gastronomi'!G200="","",'2-Gastronomi'!G200))</f>
        <v/>
      </c>
      <c r="J403" s="32" t="str">
        <f aca="false">IF($A403="","",IF('2-Gastronomi'!H200="","",'2-Gastronomi'!H200))</f>
        <v/>
      </c>
      <c r="K403" s="32" t="str">
        <f aca="false">IF($A403="","",IF('2-Gastronomi'!I200="","",'2-Gastronomi'!I200))</f>
        <v/>
      </c>
      <c r="L403" s="32" t="str">
        <f aca="false">IF($I403="","",MATCH($I403,{"08.00";"09.00";"10.00";"11.00";"12.00";"13.00";"14.00";"15.00";"16.00";"17.00"},0))</f>
        <v/>
      </c>
      <c r="M403" s="32" t="str">
        <f aca="false">IF(OR($L403="",$J403=""),"",$L403+$J403-1)</f>
        <v/>
      </c>
      <c r="N403" s="32" t="str">
        <f aca="false">IF($A403="","",IF(OR($L403="",$M403=""),"",IF($M403&gt;10,"⚠ Saat Taşıyor","")))</f>
        <v/>
      </c>
      <c r="O403" s="32" t="str">
        <f aca="false">IF($A403="","",IF(OR($G403="",$H403="",$L403=""),"",IF(SUMPRODUCT(($A$7:$A$606&lt;&gt;"")*($G$7:$G$606=$G403)*($H$7:$H$606=$H403)*(ROW($A$7:$A$606)&lt;&gt;403)*($L$7:$L$606&lt;=$M403)*($M$7:$M$606&gt;=$L403))&gt;0,"⚠ Çakışma","OK")))</f>
        <v/>
      </c>
      <c r="P403" s="32" t="str">
        <f aca="false">IF($A403="","",IF(OR($K403="",$H403="",$L403=""),"",IF(SUMPRODUCT(($A$7:$A$606&lt;&gt;"")*($K$7:$K$606=$K403)*($H$7:$H$606=$H403)*(ROW($A$7:$A$606)&lt;&gt;403)*($L$7:$L$606&lt;=$M403)*($M$7:$M$606&gt;=$L403))&gt;0,"⚠ Çakışma","OK")))</f>
        <v/>
      </c>
      <c r="Q403" s="32" t="str">
        <f aca="false">IF($A403="","",IF(OR($E403="",$H403="",$L403=""),"",IF(SUMPRODUCT(($A$7:$A$606&lt;&gt;"")*($E$7:$E$606=$E403)*($H$7:$H$606=$H403)*(ROW($A$7:$A$606)&lt;&gt;403)*($L$7:$L$606&lt;=$M403)*($M$7:$M$606&gt;=$L403))&gt;0,"⚠ Çakışma","OK")))</f>
        <v/>
      </c>
      <c r="R403" s="32" t="str">
        <f aca="false">IF($A403="","",IF(OR($N403&lt;&gt;"",$O403="⚠ Çakışma",$P403="⚠ Çakışma",$Q403="⚠ Çakışma"),"⚠ Kontrol Et","✓ Uygun"))</f>
        <v/>
      </c>
    </row>
    <row r="404" customFormat="false" ht="13.5" hidden="false" customHeight="true" outlineLevel="0" collapsed="false">
      <c r="A404" s="32" t="str">
        <f aca="false">IF('2-Gastronomi'!A201="","","Gastronomi ve Mutfak Sanatları")</f>
        <v/>
      </c>
      <c r="B404" s="32" t="str">
        <f aca="false">IF($A404="","",IF('2-Gastronomi'!A201="","",'2-Gastronomi'!A201))</f>
        <v/>
      </c>
      <c r="C404" s="33" t="str">
        <f aca="false">IF($A404="","",IF('2-Gastronomi'!B201="","",'2-Gastronomi'!B201))</f>
        <v/>
      </c>
      <c r="D404" s="32" t="str">
        <f aca="false">IF($A404="","",IF('2-Gastronomi'!C201="","",'2-Gastronomi'!C201))</f>
        <v/>
      </c>
      <c r="E404" s="32" t="str">
        <f aca="false">IF($A404="","",$A404&amp;"-"&amp;$D404)</f>
        <v/>
      </c>
      <c r="F404" s="32" t="str">
        <f aca="false">IF($A404="","",IF('2-Gastronomi'!D201="","",'2-Gastronomi'!D201))</f>
        <v/>
      </c>
      <c r="G404" s="32" t="str">
        <f aca="false">IF($A404="","",IF('2-Gastronomi'!E201="","",'2-Gastronomi'!E201))</f>
        <v/>
      </c>
      <c r="H404" s="32" t="str">
        <f aca="false">IF($A404="","",IF('2-Gastronomi'!F201="","",'2-Gastronomi'!F201))</f>
        <v/>
      </c>
      <c r="I404" s="32" t="str">
        <f aca="false">IF($A404="","",IF('2-Gastronomi'!G201="","",'2-Gastronomi'!G201))</f>
        <v/>
      </c>
      <c r="J404" s="32" t="str">
        <f aca="false">IF($A404="","",IF('2-Gastronomi'!H201="","",'2-Gastronomi'!H201))</f>
        <v/>
      </c>
      <c r="K404" s="32" t="str">
        <f aca="false">IF($A404="","",IF('2-Gastronomi'!I201="","",'2-Gastronomi'!I201))</f>
        <v/>
      </c>
      <c r="L404" s="32" t="str">
        <f aca="false">IF($I404="","",MATCH($I404,{"08.00";"09.00";"10.00";"11.00";"12.00";"13.00";"14.00";"15.00";"16.00";"17.00"},0))</f>
        <v/>
      </c>
      <c r="M404" s="32" t="str">
        <f aca="false">IF(OR($L404="",$J404=""),"",$L404+$J404-1)</f>
        <v/>
      </c>
      <c r="N404" s="32" t="str">
        <f aca="false">IF($A404="","",IF(OR($L404="",$M404=""),"",IF($M404&gt;10,"⚠ Saat Taşıyor","")))</f>
        <v/>
      </c>
      <c r="O404" s="32" t="str">
        <f aca="false">IF($A404="","",IF(OR($G404="",$H404="",$L404=""),"",IF(SUMPRODUCT(($A$7:$A$606&lt;&gt;"")*($G$7:$G$606=$G404)*($H$7:$H$606=$H404)*(ROW($A$7:$A$606)&lt;&gt;404)*($L$7:$L$606&lt;=$M404)*($M$7:$M$606&gt;=$L404))&gt;0,"⚠ Çakışma","OK")))</f>
        <v/>
      </c>
      <c r="P404" s="32" t="str">
        <f aca="false">IF($A404="","",IF(OR($K404="",$H404="",$L404=""),"",IF(SUMPRODUCT(($A$7:$A$606&lt;&gt;"")*($K$7:$K$606=$K404)*($H$7:$H$606=$H404)*(ROW($A$7:$A$606)&lt;&gt;404)*($L$7:$L$606&lt;=$M404)*($M$7:$M$606&gt;=$L404))&gt;0,"⚠ Çakışma","OK")))</f>
        <v/>
      </c>
      <c r="Q404" s="32" t="str">
        <f aca="false">IF($A404="","",IF(OR($E404="",$H404="",$L404=""),"",IF(SUMPRODUCT(($A$7:$A$606&lt;&gt;"")*($E$7:$E$606=$E404)*($H$7:$H$606=$H404)*(ROW($A$7:$A$606)&lt;&gt;404)*($L$7:$L$606&lt;=$M404)*($M$7:$M$606&gt;=$L404))&gt;0,"⚠ Çakışma","OK")))</f>
        <v/>
      </c>
      <c r="R404" s="32" t="str">
        <f aca="false">IF($A404="","",IF(OR($N404&lt;&gt;"",$O404="⚠ Çakışma",$P404="⚠ Çakışma",$Q404="⚠ Çakışma"),"⚠ Kontrol Et","✓ Uygun"))</f>
        <v/>
      </c>
    </row>
    <row r="405" customFormat="false" ht="13.5" hidden="false" customHeight="true" outlineLevel="0" collapsed="false">
      <c r="A405" s="32" t="str">
        <f aca="false">IF('2-Gastronomi'!A202="","","Gastronomi ve Mutfak Sanatları")</f>
        <v/>
      </c>
      <c r="B405" s="32" t="str">
        <f aca="false">IF($A405="","",IF('2-Gastronomi'!A202="","",'2-Gastronomi'!A202))</f>
        <v/>
      </c>
      <c r="C405" s="33" t="str">
        <f aca="false">IF($A405="","",IF('2-Gastronomi'!B202="","",'2-Gastronomi'!B202))</f>
        <v/>
      </c>
      <c r="D405" s="32" t="str">
        <f aca="false">IF($A405="","",IF('2-Gastronomi'!C202="","",'2-Gastronomi'!C202))</f>
        <v/>
      </c>
      <c r="E405" s="32" t="str">
        <f aca="false">IF($A405="","",$A405&amp;"-"&amp;$D405)</f>
        <v/>
      </c>
      <c r="F405" s="32" t="str">
        <f aca="false">IF($A405="","",IF('2-Gastronomi'!D202="","",'2-Gastronomi'!D202))</f>
        <v/>
      </c>
      <c r="G405" s="32" t="str">
        <f aca="false">IF($A405="","",IF('2-Gastronomi'!E202="","",'2-Gastronomi'!E202))</f>
        <v/>
      </c>
      <c r="H405" s="32" t="str">
        <f aca="false">IF($A405="","",IF('2-Gastronomi'!F202="","",'2-Gastronomi'!F202))</f>
        <v/>
      </c>
      <c r="I405" s="32" t="str">
        <f aca="false">IF($A405="","",IF('2-Gastronomi'!G202="","",'2-Gastronomi'!G202))</f>
        <v/>
      </c>
      <c r="J405" s="32" t="str">
        <f aca="false">IF($A405="","",IF('2-Gastronomi'!H202="","",'2-Gastronomi'!H202))</f>
        <v/>
      </c>
      <c r="K405" s="32" t="str">
        <f aca="false">IF($A405="","",IF('2-Gastronomi'!I202="","",'2-Gastronomi'!I202))</f>
        <v/>
      </c>
      <c r="L405" s="32" t="str">
        <f aca="false">IF($I405="","",MATCH($I405,{"08.00";"09.00";"10.00";"11.00";"12.00";"13.00";"14.00";"15.00";"16.00";"17.00"},0))</f>
        <v/>
      </c>
      <c r="M405" s="32" t="str">
        <f aca="false">IF(OR($L405="",$J405=""),"",$L405+$J405-1)</f>
        <v/>
      </c>
      <c r="N405" s="32" t="str">
        <f aca="false">IF($A405="","",IF(OR($L405="",$M405=""),"",IF($M405&gt;10,"⚠ Saat Taşıyor","")))</f>
        <v/>
      </c>
      <c r="O405" s="32" t="str">
        <f aca="false">IF($A405="","",IF(OR($G405="",$H405="",$L405=""),"",IF(SUMPRODUCT(($A$7:$A$606&lt;&gt;"")*($G$7:$G$606=$G405)*($H$7:$H$606=$H405)*(ROW($A$7:$A$606)&lt;&gt;405)*($L$7:$L$606&lt;=$M405)*($M$7:$M$606&gt;=$L405))&gt;0,"⚠ Çakışma","OK")))</f>
        <v/>
      </c>
      <c r="P405" s="32" t="str">
        <f aca="false">IF($A405="","",IF(OR($K405="",$H405="",$L405=""),"",IF(SUMPRODUCT(($A$7:$A$606&lt;&gt;"")*($K$7:$K$606=$K405)*($H$7:$H$606=$H405)*(ROW($A$7:$A$606)&lt;&gt;405)*($L$7:$L$606&lt;=$M405)*($M$7:$M$606&gt;=$L405))&gt;0,"⚠ Çakışma","OK")))</f>
        <v/>
      </c>
      <c r="Q405" s="32" t="str">
        <f aca="false">IF($A405="","",IF(OR($E405="",$H405="",$L405=""),"",IF(SUMPRODUCT(($A$7:$A$606&lt;&gt;"")*($E$7:$E$606=$E405)*($H$7:$H$606=$H405)*(ROW($A$7:$A$606)&lt;&gt;405)*($L$7:$L$606&lt;=$M405)*($M$7:$M$606&gt;=$L405))&gt;0,"⚠ Çakışma","OK")))</f>
        <v/>
      </c>
      <c r="R405" s="32" t="str">
        <f aca="false">IF($A405="","",IF(OR($N405&lt;&gt;"",$O405="⚠ Çakışma",$P405="⚠ Çakışma",$Q405="⚠ Çakışma"),"⚠ Kontrol Et","✓ Uygun"))</f>
        <v/>
      </c>
    </row>
    <row r="406" customFormat="false" ht="13.5" hidden="false" customHeight="true" outlineLevel="0" collapsed="false">
      <c r="A406" s="32" t="str">
        <f aca="false">IF('2-Gastronomi'!A203="","","Gastronomi ve Mutfak Sanatları")</f>
        <v/>
      </c>
      <c r="B406" s="32" t="str">
        <f aca="false">IF($A406="","",IF('2-Gastronomi'!A203="","",'2-Gastronomi'!A203))</f>
        <v/>
      </c>
      <c r="C406" s="33" t="str">
        <f aca="false">IF($A406="","",IF('2-Gastronomi'!B203="","",'2-Gastronomi'!B203))</f>
        <v/>
      </c>
      <c r="D406" s="32" t="str">
        <f aca="false">IF($A406="","",IF('2-Gastronomi'!C203="","",'2-Gastronomi'!C203))</f>
        <v/>
      </c>
      <c r="E406" s="32" t="str">
        <f aca="false">IF($A406="","",$A406&amp;"-"&amp;$D406)</f>
        <v/>
      </c>
      <c r="F406" s="32" t="str">
        <f aca="false">IF($A406="","",IF('2-Gastronomi'!D203="","",'2-Gastronomi'!D203))</f>
        <v/>
      </c>
      <c r="G406" s="32" t="str">
        <f aca="false">IF($A406="","",IF('2-Gastronomi'!E203="","",'2-Gastronomi'!E203))</f>
        <v/>
      </c>
      <c r="H406" s="32" t="str">
        <f aca="false">IF($A406="","",IF('2-Gastronomi'!F203="","",'2-Gastronomi'!F203))</f>
        <v/>
      </c>
      <c r="I406" s="32" t="str">
        <f aca="false">IF($A406="","",IF('2-Gastronomi'!G203="","",'2-Gastronomi'!G203))</f>
        <v/>
      </c>
      <c r="J406" s="32" t="str">
        <f aca="false">IF($A406="","",IF('2-Gastronomi'!H203="","",'2-Gastronomi'!H203))</f>
        <v/>
      </c>
      <c r="K406" s="32" t="str">
        <f aca="false">IF($A406="","",IF('2-Gastronomi'!I203="","",'2-Gastronomi'!I203))</f>
        <v/>
      </c>
      <c r="L406" s="32" t="str">
        <f aca="false">IF($I406="","",MATCH($I406,{"08.00";"09.00";"10.00";"11.00";"12.00";"13.00";"14.00";"15.00";"16.00";"17.00"},0))</f>
        <v/>
      </c>
      <c r="M406" s="32" t="str">
        <f aca="false">IF(OR($L406="",$J406=""),"",$L406+$J406-1)</f>
        <v/>
      </c>
      <c r="N406" s="32" t="str">
        <f aca="false">IF($A406="","",IF(OR($L406="",$M406=""),"",IF($M406&gt;10,"⚠ Saat Taşıyor","")))</f>
        <v/>
      </c>
      <c r="O406" s="32" t="str">
        <f aca="false">IF($A406="","",IF(OR($G406="",$H406="",$L406=""),"",IF(SUMPRODUCT(($A$7:$A$606&lt;&gt;"")*($G$7:$G$606=$G406)*($H$7:$H$606=$H406)*(ROW($A$7:$A$606)&lt;&gt;406)*($L$7:$L$606&lt;=$M406)*($M$7:$M$606&gt;=$L406))&gt;0,"⚠ Çakışma","OK")))</f>
        <v/>
      </c>
      <c r="P406" s="32" t="str">
        <f aca="false">IF($A406="","",IF(OR($K406="",$H406="",$L406=""),"",IF(SUMPRODUCT(($A$7:$A$606&lt;&gt;"")*($K$7:$K$606=$K406)*($H$7:$H$606=$H406)*(ROW($A$7:$A$606)&lt;&gt;406)*($L$7:$L$606&lt;=$M406)*($M$7:$M$606&gt;=$L406))&gt;0,"⚠ Çakışma","OK")))</f>
        <v/>
      </c>
      <c r="Q406" s="32" t="str">
        <f aca="false">IF($A406="","",IF(OR($E406="",$H406="",$L406=""),"",IF(SUMPRODUCT(($A$7:$A$606&lt;&gt;"")*($E$7:$E$606=$E406)*($H$7:$H$606=$H406)*(ROW($A$7:$A$606)&lt;&gt;406)*($L$7:$L$606&lt;=$M406)*($M$7:$M$606&gt;=$L406))&gt;0,"⚠ Çakışma","OK")))</f>
        <v/>
      </c>
      <c r="R406" s="32" t="str">
        <f aca="false">IF($A406="","",IF(OR($N406&lt;&gt;"",$O406="⚠ Çakışma",$P406="⚠ Çakışma",$Q406="⚠ Çakışma"),"⚠ Kontrol Et","✓ Uygun"))</f>
        <v/>
      </c>
    </row>
    <row r="407" customFormat="false" ht="13.5" hidden="false" customHeight="true" outlineLevel="0" collapsed="false">
      <c r="A407" s="34" t="str">
        <f aca="false">IF('3-Turizm İşletmeciliği'!A4="","","Turizm İşletmeciliği")</f>
        <v/>
      </c>
      <c r="B407" s="34" t="str">
        <f aca="false">IF($A407="","",IF('3-Turizm İşletmeciliği'!A4="","",'3-Turizm İşletmeciliği'!A4))</f>
        <v/>
      </c>
      <c r="C407" s="35" t="str">
        <f aca="false">IF($A407="","",IF('3-Turizm İşletmeciliği'!B4="","",'3-Turizm İşletmeciliği'!B4))</f>
        <v/>
      </c>
      <c r="D407" s="34" t="str">
        <f aca="false">IF($A407="","",IF('3-Turizm İşletmeciliği'!C4="","",'3-Turizm İşletmeciliği'!C4))</f>
        <v/>
      </c>
      <c r="E407" s="34" t="str">
        <f aca="false">IF($A407="","",$A407&amp;"-"&amp;$D407)</f>
        <v/>
      </c>
      <c r="F407" s="34" t="str">
        <f aca="false">IF($A407="","",IF('3-Turizm İşletmeciliği'!D4="","",'3-Turizm İşletmeciliği'!D4))</f>
        <v/>
      </c>
      <c r="G407" s="34" t="str">
        <f aca="false">IF($A407="","",IF('3-Turizm İşletmeciliği'!E4="","",'3-Turizm İşletmeciliği'!E4))</f>
        <v/>
      </c>
      <c r="H407" s="34" t="str">
        <f aca="false">IF($A407="","",IF('3-Turizm İşletmeciliği'!F4="","",'3-Turizm İşletmeciliği'!F4))</f>
        <v/>
      </c>
      <c r="I407" s="34" t="str">
        <f aca="false">IF($A407="","",IF('3-Turizm İşletmeciliği'!G4="","",'3-Turizm İşletmeciliği'!G4))</f>
        <v/>
      </c>
      <c r="J407" s="34" t="str">
        <f aca="false">IF($A407="","",IF('3-Turizm İşletmeciliği'!H4="","",'3-Turizm İşletmeciliği'!H4))</f>
        <v/>
      </c>
      <c r="K407" s="34" t="str">
        <f aca="false">IF($A407="","",IF('3-Turizm İşletmeciliği'!I4="","",'3-Turizm İşletmeciliği'!I4))</f>
        <v/>
      </c>
      <c r="L407" s="34" t="str">
        <f aca="false">IF($I407="","",MATCH($I407,{"08.00";"09.00";"10.00";"11.00";"12.00";"13.00";"14.00";"15.00";"16.00";"17.00"},0))</f>
        <v/>
      </c>
      <c r="M407" s="34" t="str">
        <f aca="false">IF(OR($L407="",$J407=""),"",$L407+$J407-1)</f>
        <v/>
      </c>
      <c r="N407" s="34" t="str">
        <f aca="false">IF($A407="","",IF(OR($L407="",$M407=""),"",IF($M407&gt;10,"⚠ Saat Taşıyor","")))</f>
        <v/>
      </c>
      <c r="O407" s="34" t="str">
        <f aca="false">IF($A407="","",IF(OR($G407="",$H407="",$L407=""),"",IF(SUMPRODUCT(($A$7:$A$606&lt;&gt;"")*($G$7:$G$606=$G407)*($H$7:$H$606=$H407)*(ROW($A$7:$A$606)&lt;&gt;407)*($L$7:$L$606&lt;=$M407)*($M$7:$M$606&gt;=$L407))&gt;0,"⚠ Çakışma","OK")))</f>
        <v/>
      </c>
      <c r="P407" s="34" t="str">
        <f aca="false">IF($A407="","",IF(OR($K407="",$H407="",$L407=""),"",IF(SUMPRODUCT(($A$7:$A$606&lt;&gt;"")*($K$7:$K$606=$K407)*($H$7:$H$606=$H407)*(ROW($A$7:$A$606)&lt;&gt;407)*($L$7:$L$606&lt;=$M407)*($M$7:$M$606&gt;=$L407))&gt;0,"⚠ Çakışma","OK")))</f>
        <v/>
      </c>
      <c r="Q407" s="34" t="str">
        <f aca="false">IF($A407="","",IF(OR($E407="",$H407="",$L407=""),"",IF(SUMPRODUCT(($A$7:$A$606&lt;&gt;"")*($E$7:$E$606=$E407)*($H$7:$H$606=$H407)*(ROW($A$7:$A$606)&lt;&gt;407)*($L$7:$L$606&lt;=$M407)*($M$7:$M$606&gt;=$L407))&gt;0,"⚠ Çakışma","OK")))</f>
        <v/>
      </c>
      <c r="R407" s="34" t="str">
        <f aca="false">IF($A407="","",IF(OR($N407&lt;&gt;"",$O407="⚠ Çakışma",$P407="⚠ Çakışma",$Q407="⚠ Çakışma"),"⚠ Kontrol Et","✓ Uygun"))</f>
        <v/>
      </c>
    </row>
    <row r="408" customFormat="false" ht="13.5" hidden="false" customHeight="true" outlineLevel="0" collapsed="false">
      <c r="A408" s="28" t="str">
        <f aca="false">IF('3-Turizm İşletmeciliği'!A5="","","Turizm İşletmeciliği")</f>
        <v/>
      </c>
      <c r="B408" s="28" t="str">
        <f aca="false">IF($A408="","",IF('3-Turizm İşletmeciliği'!A5="","",'3-Turizm İşletmeciliği'!A5))</f>
        <v/>
      </c>
      <c r="C408" s="29" t="str">
        <f aca="false">IF($A408="","",IF('3-Turizm İşletmeciliği'!B5="","",'3-Turizm İşletmeciliği'!B5))</f>
        <v/>
      </c>
      <c r="D408" s="28" t="str">
        <f aca="false">IF($A408="","",IF('3-Turizm İşletmeciliği'!C5="","",'3-Turizm İşletmeciliği'!C5))</f>
        <v/>
      </c>
      <c r="E408" s="28" t="str">
        <f aca="false">IF($A408="","",$A408&amp;"-"&amp;$D408)</f>
        <v/>
      </c>
      <c r="F408" s="28" t="str">
        <f aca="false">IF($A408="","",IF('3-Turizm İşletmeciliği'!D5="","",'3-Turizm İşletmeciliği'!D5))</f>
        <v/>
      </c>
      <c r="G408" s="28" t="str">
        <f aca="false">IF($A408="","",IF('3-Turizm İşletmeciliği'!E5="","",'3-Turizm İşletmeciliği'!E5))</f>
        <v/>
      </c>
      <c r="H408" s="28" t="str">
        <f aca="false">IF($A408="","",IF('3-Turizm İşletmeciliği'!F5="","",'3-Turizm İşletmeciliği'!F5))</f>
        <v/>
      </c>
      <c r="I408" s="28" t="str">
        <f aca="false">IF($A408="","",IF('3-Turizm İşletmeciliği'!G5="","",'3-Turizm İşletmeciliği'!G5))</f>
        <v/>
      </c>
      <c r="J408" s="28" t="str">
        <f aca="false">IF($A408="","",IF('3-Turizm İşletmeciliği'!H5="","",'3-Turizm İşletmeciliği'!H5))</f>
        <v/>
      </c>
      <c r="K408" s="28" t="str">
        <f aca="false">IF($A408="","",IF('3-Turizm İşletmeciliği'!I5="","",'3-Turizm İşletmeciliği'!I5))</f>
        <v/>
      </c>
      <c r="L408" s="28" t="str">
        <f aca="false">IF($I408="","",MATCH($I408,{"08.00";"09.00";"10.00";"11.00";"12.00";"13.00";"14.00";"15.00";"16.00";"17.00"},0))</f>
        <v/>
      </c>
      <c r="M408" s="28" t="str">
        <f aca="false">IF(OR($L408="",$J408=""),"",$L408+$J408-1)</f>
        <v/>
      </c>
      <c r="N408" s="28" t="str">
        <f aca="false">IF($A408="","",IF(OR($L408="",$M408=""),"",IF($M408&gt;10,"⚠ Saat Taşıyor","")))</f>
        <v/>
      </c>
      <c r="O408" s="28" t="str">
        <f aca="false">IF($A408="","",IF(OR($G408="",$H408="",$L408=""),"",IF(SUMPRODUCT(($A$7:$A$606&lt;&gt;"")*($G$7:$G$606=$G408)*($H$7:$H$606=$H408)*(ROW($A$7:$A$606)&lt;&gt;408)*($L$7:$L$606&lt;=$M408)*($M$7:$M$606&gt;=$L408))&gt;0,"⚠ Çakışma","OK")))</f>
        <v/>
      </c>
      <c r="P408" s="28" t="str">
        <f aca="false">IF($A408="","",IF(OR($K408="",$H408="",$L408=""),"",IF(SUMPRODUCT(($A$7:$A$606&lt;&gt;"")*($K$7:$K$606=$K408)*($H$7:$H$606=$H408)*(ROW($A$7:$A$606)&lt;&gt;408)*($L$7:$L$606&lt;=$M408)*($M$7:$M$606&gt;=$L408))&gt;0,"⚠ Çakışma","OK")))</f>
        <v/>
      </c>
      <c r="Q408" s="28" t="str">
        <f aca="false">IF($A408="","",IF(OR($E408="",$H408="",$L408=""),"",IF(SUMPRODUCT(($A$7:$A$606&lt;&gt;"")*($E$7:$E$606=$E408)*($H$7:$H$606=$H408)*(ROW($A$7:$A$606)&lt;&gt;408)*($L$7:$L$606&lt;=$M408)*($M$7:$M$606&gt;=$L408))&gt;0,"⚠ Çakışma","OK")))</f>
        <v/>
      </c>
      <c r="R408" s="28" t="str">
        <f aca="false">IF($A408="","",IF(OR($N408&lt;&gt;"",$O408="⚠ Çakışma",$P408="⚠ Çakışma",$Q408="⚠ Çakışma"),"⚠ Kontrol Et","✓ Uygun"))</f>
        <v/>
      </c>
    </row>
    <row r="409" customFormat="false" ht="13.5" hidden="false" customHeight="true" outlineLevel="0" collapsed="false">
      <c r="A409" s="28" t="str">
        <f aca="false">IF('3-Turizm İşletmeciliği'!A6="","","Turizm İşletmeciliği")</f>
        <v/>
      </c>
      <c r="B409" s="28" t="str">
        <f aca="false">IF($A409="","",IF('3-Turizm İşletmeciliği'!A6="","",'3-Turizm İşletmeciliği'!A6))</f>
        <v/>
      </c>
      <c r="C409" s="29" t="str">
        <f aca="false">IF($A409="","",IF('3-Turizm İşletmeciliği'!B6="","",'3-Turizm İşletmeciliği'!B6))</f>
        <v/>
      </c>
      <c r="D409" s="28" t="str">
        <f aca="false">IF($A409="","",IF('3-Turizm İşletmeciliği'!C6="","",'3-Turizm İşletmeciliği'!C6))</f>
        <v/>
      </c>
      <c r="E409" s="28" t="str">
        <f aca="false">IF($A409="","",$A409&amp;"-"&amp;$D409)</f>
        <v/>
      </c>
      <c r="F409" s="28" t="str">
        <f aca="false">IF($A409="","",IF('3-Turizm İşletmeciliği'!D6="","",'3-Turizm İşletmeciliği'!D6))</f>
        <v/>
      </c>
      <c r="G409" s="28" t="str">
        <f aca="false">IF($A409="","",IF('3-Turizm İşletmeciliği'!E6="","",'3-Turizm İşletmeciliği'!E6))</f>
        <v/>
      </c>
      <c r="H409" s="28" t="str">
        <f aca="false">IF($A409="","",IF('3-Turizm İşletmeciliği'!F6="","",'3-Turizm İşletmeciliği'!F6))</f>
        <v/>
      </c>
      <c r="I409" s="28" t="str">
        <f aca="false">IF($A409="","",IF('3-Turizm İşletmeciliği'!G6="","",'3-Turizm İşletmeciliği'!G6))</f>
        <v/>
      </c>
      <c r="J409" s="28" t="str">
        <f aca="false">IF($A409="","",IF('3-Turizm İşletmeciliği'!H6="","",'3-Turizm İşletmeciliği'!H6))</f>
        <v/>
      </c>
      <c r="K409" s="28" t="str">
        <f aca="false">IF($A409="","",IF('3-Turizm İşletmeciliği'!I6="","",'3-Turizm İşletmeciliği'!I6))</f>
        <v/>
      </c>
      <c r="L409" s="28" t="str">
        <f aca="false">IF($I409="","",MATCH($I409,{"08.00";"09.00";"10.00";"11.00";"12.00";"13.00";"14.00";"15.00";"16.00";"17.00"},0))</f>
        <v/>
      </c>
      <c r="M409" s="28" t="str">
        <f aca="false">IF(OR($L409="",$J409=""),"",$L409+$J409-1)</f>
        <v/>
      </c>
      <c r="N409" s="28" t="str">
        <f aca="false">IF($A409="","",IF(OR($L409="",$M409=""),"",IF($M409&gt;10,"⚠ Saat Taşıyor","")))</f>
        <v/>
      </c>
      <c r="O409" s="28" t="str">
        <f aca="false">IF($A409="","",IF(OR($G409="",$H409="",$L409=""),"",IF(SUMPRODUCT(($A$7:$A$606&lt;&gt;"")*($G$7:$G$606=$G409)*($H$7:$H$606=$H409)*(ROW($A$7:$A$606)&lt;&gt;409)*($L$7:$L$606&lt;=$M409)*($M$7:$M$606&gt;=$L409))&gt;0,"⚠ Çakışma","OK")))</f>
        <v/>
      </c>
      <c r="P409" s="28" t="str">
        <f aca="false">IF($A409="","",IF(OR($K409="",$H409="",$L409=""),"",IF(SUMPRODUCT(($A$7:$A$606&lt;&gt;"")*($K$7:$K$606=$K409)*($H$7:$H$606=$H409)*(ROW($A$7:$A$606)&lt;&gt;409)*($L$7:$L$606&lt;=$M409)*($M$7:$M$606&gt;=$L409))&gt;0,"⚠ Çakışma","OK")))</f>
        <v/>
      </c>
      <c r="Q409" s="28" t="str">
        <f aca="false">IF($A409="","",IF(OR($E409="",$H409="",$L409=""),"",IF(SUMPRODUCT(($A$7:$A$606&lt;&gt;"")*($E$7:$E$606=$E409)*($H$7:$H$606=$H409)*(ROW($A$7:$A$606)&lt;&gt;409)*($L$7:$L$606&lt;=$M409)*($M$7:$M$606&gt;=$L409))&gt;0,"⚠ Çakışma","OK")))</f>
        <v/>
      </c>
      <c r="R409" s="28" t="str">
        <f aca="false">IF($A409="","",IF(OR($N409&lt;&gt;"",$O409="⚠ Çakışma",$P409="⚠ Çakışma",$Q409="⚠ Çakışma"),"⚠ Kontrol Et","✓ Uygun"))</f>
        <v/>
      </c>
    </row>
    <row r="410" customFormat="false" ht="13.5" hidden="false" customHeight="true" outlineLevel="0" collapsed="false">
      <c r="A410" s="28" t="str">
        <f aca="false">IF('3-Turizm İşletmeciliği'!A7="","","Turizm İşletmeciliği")</f>
        <v/>
      </c>
      <c r="B410" s="28" t="str">
        <f aca="false">IF($A410="","",IF('3-Turizm İşletmeciliği'!A7="","",'3-Turizm İşletmeciliği'!A7))</f>
        <v/>
      </c>
      <c r="C410" s="29" t="str">
        <f aca="false">IF($A410="","",IF('3-Turizm İşletmeciliği'!B7="","",'3-Turizm İşletmeciliği'!B7))</f>
        <v/>
      </c>
      <c r="D410" s="28" t="str">
        <f aca="false">IF($A410="","",IF('3-Turizm İşletmeciliği'!C7="","",'3-Turizm İşletmeciliği'!C7))</f>
        <v/>
      </c>
      <c r="E410" s="28" t="str">
        <f aca="false">IF($A410="","",$A410&amp;"-"&amp;$D410)</f>
        <v/>
      </c>
      <c r="F410" s="28" t="str">
        <f aca="false">IF($A410="","",IF('3-Turizm İşletmeciliği'!D7="","",'3-Turizm İşletmeciliği'!D7))</f>
        <v/>
      </c>
      <c r="G410" s="28" t="str">
        <f aca="false">IF($A410="","",IF('3-Turizm İşletmeciliği'!E7="","",'3-Turizm İşletmeciliği'!E7))</f>
        <v/>
      </c>
      <c r="H410" s="28" t="str">
        <f aca="false">IF($A410="","",IF('3-Turizm İşletmeciliği'!F7="","",'3-Turizm İşletmeciliği'!F7))</f>
        <v/>
      </c>
      <c r="I410" s="28" t="str">
        <f aca="false">IF($A410="","",IF('3-Turizm İşletmeciliği'!G7="","",'3-Turizm İşletmeciliği'!G7))</f>
        <v/>
      </c>
      <c r="J410" s="28" t="str">
        <f aca="false">IF($A410="","",IF('3-Turizm İşletmeciliği'!H7="","",'3-Turizm İşletmeciliği'!H7))</f>
        <v/>
      </c>
      <c r="K410" s="28" t="str">
        <f aca="false">IF($A410="","",IF('3-Turizm İşletmeciliği'!I7="","",'3-Turizm İşletmeciliği'!I7))</f>
        <v/>
      </c>
      <c r="L410" s="28" t="str">
        <f aca="false">IF($I410="","",MATCH($I410,{"08.00";"09.00";"10.00";"11.00";"12.00";"13.00";"14.00";"15.00";"16.00";"17.00"},0))</f>
        <v/>
      </c>
      <c r="M410" s="28" t="str">
        <f aca="false">IF(OR($L410="",$J410=""),"",$L410+$J410-1)</f>
        <v/>
      </c>
      <c r="N410" s="28" t="str">
        <f aca="false">IF($A410="","",IF(OR($L410="",$M410=""),"",IF($M410&gt;10,"⚠ Saat Taşıyor","")))</f>
        <v/>
      </c>
      <c r="O410" s="28" t="str">
        <f aca="false">IF($A410="","",IF(OR($G410="",$H410="",$L410=""),"",IF(SUMPRODUCT(($A$7:$A$606&lt;&gt;"")*($G$7:$G$606=$G410)*($H$7:$H$606=$H410)*(ROW($A$7:$A$606)&lt;&gt;410)*($L$7:$L$606&lt;=$M410)*($M$7:$M$606&gt;=$L410))&gt;0,"⚠ Çakışma","OK")))</f>
        <v/>
      </c>
      <c r="P410" s="28" t="str">
        <f aca="false">IF($A410="","",IF(OR($K410="",$H410="",$L410=""),"",IF(SUMPRODUCT(($A$7:$A$606&lt;&gt;"")*($K$7:$K$606=$K410)*($H$7:$H$606=$H410)*(ROW($A$7:$A$606)&lt;&gt;410)*($L$7:$L$606&lt;=$M410)*($M$7:$M$606&gt;=$L410))&gt;0,"⚠ Çakışma","OK")))</f>
        <v/>
      </c>
      <c r="Q410" s="28" t="str">
        <f aca="false">IF($A410="","",IF(OR($E410="",$H410="",$L410=""),"",IF(SUMPRODUCT(($A$7:$A$606&lt;&gt;"")*($E$7:$E$606=$E410)*($H$7:$H$606=$H410)*(ROW($A$7:$A$606)&lt;&gt;410)*($L$7:$L$606&lt;=$M410)*($M$7:$M$606&gt;=$L410))&gt;0,"⚠ Çakışma","OK")))</f>
        <v/>
      </c>
      <c r="R410" s="28" t="str">
        <f aca="false">IF($A410="","",IF(OR($N410&lt;&gt;"",$O410="⚠ Çakışma",$P410="⚠ Çakışma",$Q410="⚠ Çakışma"),"⚠ Kontrol Et","✓ Uygun"))</f>
        <v/>
      </c>
    </row>
    <row r="411" customFormat="false" ht="13.5" hidden="false" customHeight="true" outlineLevel="0" collapsed="false">
      <c r="A411" s="28" t="str">
        <f aca="false">IF('3-Turizm İşletmeciliği'!A8="","","Turizm İşletmeciliği")</f>
        <v/>
      </c>
      <c r="B411" s="28" t="str">
        <f aca="false">IF($A411="","",IF('3-Turizm İşletmeciliği'!A8="","",'3-Turizm İşletmeciliği'!A8))</f>
        <v/>
      </c>
      <c r="C411" s="29" t="str">
        <f aca="false">IF($A411="","",IF('3-Turizm İşletmeciliği'!B8="","",'3-Turizm İşletmeciliği'!B8))</f>
        <v/>
      </c>
      <c r="D411" s="28" t="str">
        <f aca="false">IF($A411="","",IF('3-Turizm İşletmeciliği'!C8="","",'3-Turizm İşletmeciliği'!C8))</f>
        <v/>
      </c>
      <c r="E411" s="28" t="str">
        <f aca="false">IF($A411="","",$A411&amp;"-"&amp;$D411)</f>
        <v/>
      </c>
      <c r="F411" s="28" t="str">
        <f aca="false">IF($A411="","",IF('3-Turizm İşletmeciliği'!D8="","",'3-Turizm İşletmeciliği'!D8))</f>
        <v/>
      </c>
      <c r="G411" s="28" t="str">
        <f aca="false">IF($A411="","",IF('3-Turizm İşletmeciliği'!E8="","",'3-Turizm İşletmeciliği'!E8))</f>
        <v/>
      </c>
      <c r="H411" s="28" t="str">
        <f aca="false">IF($A411="","",IF('3-Turizm İşletmeciliği'!F8="","",'3-Turizm İşletmeciliği'!F8))</f>
        <v/>
      </c>
      <c r="I411" s="28" t="str">
        <f aca="false">IF($A411="","",IF('3-Turizm İşletmeciliği'!G8="","",'3-Turizm İşletmeciliği'!G8))</f>
        <v/>
      </c>
      <c r="J411" s="28" t="str">
        <f aca="false">IF($A411="","",IF('3-Turizm İşletmeciliği'!H8="","",'3-Turizm İşletmeciliği'!H8))</f>
        <v/>
      </c>
      <c r="K411" s="28" t="str">
        <f aca="false">IF($A411="","",IF('3-Turizm İşletmeciliği'!I8="","",'3-Turizm İşletmeciliği'!I8))</f>
        <v/>
      </c>
      <c r="L411" s="28" t="str">
        <f aca="false">IF($I411="","",MATCH($I411,{"08.00";"09.00";"10.00";"11.00";"12.00";"13.00";"14.00";"15.00";"16.00";"17.00"},0))</f>
        <v/>
      </c>
      <c r="M411" s="28" t="str">
        <f aca="false">IF(OR($L411="",$J411=""),"",$L411+$J411-1)</f>
        <v/>
      </c>
      <c r="N411" s="28" t="str">
        <f aca="false">IF($A411="","",IF(OR($L411="",$M411=""),"",IF($M411&gt;10,"⚠ Saat Taşıyor","")))</f>
        <v/>
      </c>
      <c r="O411" s="28" t="str">
        <f aca="false">IF($A411="","",IF(OR($G411="",$H411="",$L411=""),"",IF(SUMPRODUCT(($A$7:$A$606&lt;&gt;"")*($G$7:$G$606=$G411)*($H$7:$H$606=$H411)*(ROW($A$7:$A$606)&lt;&gt;411)*($L$7:$L$606&lt;=$M411)*($M$7:$M$606&gt;=$L411))&gt;0,"⚠ Çakışma","OK")))</f>
        <v/>
      </c>
      <c r="P411" s="28" t="str">
        <f aca="false">IF($A411="","",IF(OR($K411="",$H411="",$L411=""),"",IF(SUMPRODUCT(($A$7:$A$606&lt;&gt;"")*($K$7:$K$606=$K411)*($H$7:$H$606=$H411)*(ROW($A$7:$A$606)&lt;&gt;411)*($L$7:$L$606&lt;=$M411)*($M$7:$M$606&gt;=$L411))&gt;0,"⚠ Çakışma","OK")))</f>
        <v/>
      </c>
      <c r="Q411" s="28" t="str">
        <f aca="false">IF($A411="","",IF(OR($E411="",$H411="",$L411=""),"",IF(SUMPRODUCT(($A$7:$A$606&lt;&gt;"")*($E$7:$E$606=$E411)*($H$7:$H$606=$H411)*(ROW($A$7:$A$606)&lt;&gt;411)*($L$7:$L$606&lt;=$M411)*($M$7:$M$606&gt;=$L411))&gt;0,"⚠ Çakışma","OK")))</f>
        <v/>
      </c>
      <c r="R411" s="28" t="str">
        <f aca="false">IF($A411="","",IF(OR($N411&lt;&gt;"",$O411="⚠ Çakışma",$P411="⚠ Çakışma",$Q411="⚠ Çakışma"),"⚠ Kontrol Et","✓ Uygun"))</f>
        <v/>
      </c>
    </row>
    <row r="412" customFormat="false" ht="13.5" hidden="false" customHeight="true" outlineLevel="0" collapsed="false">
      <c r="A412" s="28" t="str">
        <f aca="false">IF('3-Turizm İşletmeciliği'!A9="","","Turizm İşletmeciliği")</f>
        <v/>
      </c>
      <c r="B412" s="28" t="str">
        <f aca="false">IF($A412="","",IF('3-Turizm İşletmeciliği'!A9="","",'3-Turizm İşletmeciliği'!A9))</f>
        <v/>
      </c>
      <c r="C412" s="29" t="str">
        <f aca="false">IF($A412="","",IF('3-Turizm İşletmeciliği'!B9="","",'3-Turizm İşletmeciliği'!B9))</f>
        <v/>
      </c>
      <c r="D412" s="28" t="str">
        <f aca="false">IF($A412="","",IF('3-Turizm İşletmeciliği'!C9="","",'3-Turizm İşletmeciliği'!C9))</f>
        <v/>
      </c>
      <c r="E412" s="28" t="str">
        <f aca="false">IF($A412="","",$A412&amp;"-"&amp;$D412)</f>
        <v/>
      </c>
      <c r="F412" s="28" t="str">
        <f aca="false">IF($A412="","",IF('3-Turizm İşletmeciliği'!D9="","",'3-Turizm İşletmeciliği'!D9))</f>
        <v/>
      </c>
      <c r="G412" s="28" t="str">
        <f aca="false">IF($A412="","",IF('3-Turizm İşletmeciliği'!E9="","",'3-Turizm İşletmeciliği'!E9))</f>
        <v/>
      </c>
      <c r="H412" s="28" t="str">
        <f aca="false">IF($A412="","",IF('3-Turizm İşletmeciliği'!F9="","",'3-Turizm İşletmeciliği'!F9))</f>
        <v/>
      </c>
      <c r="I412" s="28" t="str">
        <f aca="false">IF($A412="","",IF('3-Turizm İşletmeciliği'!G9="","",'3-Turizm İşletmeciliği'!G9))</f>
        <v/>
      </c>
      <c r="J412" s="28" t="str">
        <f aca="false">IF($A412="","",IF('3-Turizm İşletmeciliği'!H9="","",'3-Turizm İşletmeciliği'!H9))</f>
        <v/>
      </c>
      <c r="K412" s="28" t="str">
        <f aca="false">IF($A412="","",IF('3-Turizm İşletmeciliği'!I9="","",'3-Turizm İşletmeciliği'!I9))</f>
        <v/>
      </c>
      <c r="L412" s="28" t="str">
        <f aca="false">IF($I412="","",MATCH($I412,{"08.00";"09.00";"10.00";"11.00";"12.00";"13.00";"14.00";"15.00";"16.00";"17.00"},0))</f>
        <v/>
      </c>
      <c r="M412" s="28" t="str">
        <f aca="false">IF(OR($L412="",$J412=""),"",$L412+$J412-1)</f>
        <v/>
      </c>
      <c r="N412" s="28" t="str">
        <f aca="false">IF($A412="","",IF(OR($L412="",$M412=""),"",IF($M412&gt;10,"⚠ Saat Taşıyor","")))</f>
        <v/>
      </c>
      <c r="O412" s="28" t="str">
        <f aca="false">IF($A412="","",IF(OR($G412="",$H412="",$L412=""),"",IF(SUMPRODUCT(($A$7:$A$606&lt;&gt;"")*($G$7:$G$606=$G412)*($H$7:$H$606=$H412)*(ROW($A$7:$A$606)&lt;&gt;412)*($L$7:$L$606&lt;=$M412)*($M$7:$M$606&gt;=$L412))&gt;0,"⚠ Çakışma","OK")))</f>
        <v/>
      </c>
      <c r="P412" s="28" t="str">
        <f aca="false">IF($A412="","",IF(OR($K412="",$H412="",$L412=""),"",IF(SUMPRODUCT(($A$7:$A$606&lt;&gt;"")*($K$7:$K$606=$K412)*($H$7:$H$606=$H412)*(ROW($A$7:$A$606)&lt;&gt;412)*($L$7:$L$606&lt;=$M412)*($M$7:$M$606&gt;=$L412))&gt;0,"⚠ Çakışma","OK")))</f>
        <v/>
      </c>
      <c r="Q412" s="28" t="str">
        <f aca="false">IF($A412="","",IF(OR($E412="",$H412="",$L412=""),"",IF(SUMPRODUCT(($A$7:$A$606&lt;&gt;"")*($E$7:$E$606=$E412)*($H$7:$H$606=$H412)*(ROW($A$7:$A$606)&lt;&gt;412)*($L$7:$L$606&lt;=$M412)*($M$7:$M$606&gt;=$L412))&gt;0,"⚠ Çakışma","OK")))</f>
        <v/>
      </c>
      <c r="R412" s="28" t="str">
        <f aca="false">IF($A412="","",IF(OR($N412&lt;&gt;"",$O412="⚠ Çakışma",$P412="⚠ Çakışma",$Q412="⚠ Çakışma"),"⚠ Kontrol Et","✓ Uygun"))</f>
        <v/>
      </c>
    </row>
    <row r="413" customFormat="false" ht="13.5" hidden="false" customHeight="true" outlineLevel="0" collapsed="false">
      <c r="A413" s="28" t="str">
        <f aca="false">IF('3-Turizm İşletmeciliği'!A10="","","Turizm İşletmeciliği")</f>
        <v/>
      </c>
      <c r="B413" s="28" t="str">
        <f aca="false">IF($A413="","",IF('3-Turizm İşletmeciliği'!A10="","",'3-Turizm İşletmeciliği'!A10))</f>
        <v/>
      </c>
      <c r="C413" s="29" t="str">
        <f aca="false">IF($A413="","",IF('3-Turizm İşletmeciliği'!B10="","",'3-Turizm İşletmeciliği'!B10))</f>
        <v/>
      </c>
      <c r="D413" s="28" t="str">
        <f aca="false">IF($A413="","",IF('3-Turizm İşletmeciliği'!C10="","",'3-Turizm İşletmeciliği'!C10))</f>
        <v/>
      </c>
      <c r="E413" s="28" t="str">
        <f aca="false">IF($A413="","",$A413&amp;"-"&amp;$D413)</f>
        <v/>
      </c>
      <c r="F413" s="28" t="str">
        <f aca="false">IF($A413="","",IF('3-Turizm İşletmeciliği'!D10="","",'3-Turizm İşletmeciliği'!D10))</f>
        <v/>
      </c>
      <c r="G413" s="28" t="str">
        <f aca="false">IF($A413="","",IF('3-Turizm İşletmeciliği'!E10="","",'3-Turizm İşletmeciliği'!E10))</f>
        <v/>
      </c>
      <c r="H413" s="28" t="str">
        <f aca="false">IF($A413="","",IF('3-Turizm İşletmeciliği'!F10="","",'3-Turizm İşletmeciliği'!F10))</f>
        <v/>
      </c>
      <c r="I413" s="28" t="str">
        <f aca="false">IF($A413="","",IF('3-Turizm İşletmeciliği'!G10="","",'3-Turizm İşletmeciliği'!G10))</f>
        <v/>
      </c>
      <c r="J413" s="28" t="str">
        <f aca="false">IF($A413="","",IF('3-Turizm İşletmeciliği'!H10="","",'3-Turizm İşletmeciliği'!H10))</f>
        <v/>
      </c>
      <c r="K413" s="28" t="str">
        <f aca="false">IF($A413="","",IF('3-Turizm İşletmeciliği'!I10="","",'3-Turizm İşletmeciliği'!I10))</f>
        <v/>
      </c>
      <c r="L413" s="28" t="str">
        <f aca="false">IF($I413="","",MATCH($I413,{"08.00";"09.00";"10.00";"11.00";"12.00";"13.00";"14.00";"15.00";"16.00";"17.00"},0))</f>
        <v/>
      </c>
      <c r="M413" s="28" t="str">
        <f aca="false">IF(OR($L413="",$J413=""),"",$L413+$J413-1)</f>
        <v/>
      </c>
      <c r="N413" s="28" t="str">
        <f aca="false">IF($A413="","",IF(OR($L413="",$M413=""),"",IF($M413&gt;10,"⚠ Saat Taşıyor","")))</f>
        <v/>
      </c>
      <c r="O413" s="28" t="str">
        <f aca="false">IF($A413="","",IF(OR($G413="",$H413="",$L413=""),"",IF(SUMPRODUCT(($A$7:$A$606&lt;&gt;"")*($G$7:$G$606=$G413)*($H$7:$H$606=$H413)*(ROW($A$7:$A$606)&lt;&gt;413)*($L$7:$L$606&lt;=$M413)*($M$7:$M$606&gt;=$L413))&gt;0,"⚠ Çakışma","OK")))</f>
        <v/>
      </c>
      <c r="P413" s="28" t="str">
        <f aca="false">IF($A413="","",IF(OR($K413="",$H413="",$L413=""),"",IF(SUMPRODUCT(($A$7:$A$606&lt;&gt;"")*($K$7:$K$606=$K413)*($H$7:$H$606=$H413)*(ROW($A$7:$A$606)&lt;&gt;413)*($L$7:$L$606&lt;=$M413)*($M$7:$M$606&gt;=$L413))&gt;0,"⚠ Çakışma","OK")))</f>
        <v/>
      </c>
      <c r="Q413" s="28" t="str">
        <f aca="false">IF($A413="","",IF(OR($E413="",$H413="",$L413=""),"",IF(SUMPRODUCT(($A$7:$A$606&lt;&gt;"")*($E$7:$E$606=$E413)*($H$7:$H$606=$H413)*(ROW($A$7:$A$606)&lt;&gt;413)*($L$7:$L$606&lt;=$M413)*($M$7:$M$606&gt;=$L413))&gt;0,"⚠ Çakışma","OK")))</f>
        <v/>
      </c>
      <c r="R413" s="28" t="str">
        <f aca="false">IF($A413="","",IF(OR($N413&lt;&gt;"",$O413="⚠ Çakışma",$P413="⚠ Çakışma",$Q413="⚠ Çakışma"),"⚠ Kontrol Et","✓ Uygun"))</f>
        <v/>
      </c>
    </row>
    <row r="414" customFormat="false" ht="13.5" hidden="false" customHeight="true" outlineLevel="0" collapsed="false">
      <c r="A414" s="28" t="str">
        <f aca="false">IF('3-Turizm İşletmeciliği'!A11="","","Turizm İşletmeciliği")</f>
        <v/>
      </c>
      <c r="B414" s="28" t="str">
        <f aca="false">IF($A414="","",IF('3-Turizm İşletmeciliği'!A11="","",'3-Turizm İşletmeciliği'!A11))</f>
        <v/>
      </c>
      <c r="C414" s="29" t="str">
        <f aca="false">IF($A414="","",IF('3-Turizm İşletmeciliği'!B11="","",'3-Turizm İşletmeciliği'!B11))</f>
        <v/>
      </c>
      <c r="D414" s="28" t="str">
        <f aca="false">IF($A414="","",IF('3-Turizm İşletmeciliği'!C11="","",'3-Turizm İşletmeciliği'!C11))</f>
        <v/>
      </c>
      <c r="E414" s="28" t="str">
        <f aca="false">IF($A414="","",$A414&amp;"-"&amp;$D414)</f>
        <v/>
      </c>
      <c r="F414" s="28" t="str">
        <f aca="false">IF($A414="","",IF('3-Turizm İşletmeciliği'!D11="","",'3-Turizm İşletmeciliği'!D11))</f>
        <v/>
      </c>
      <c r="G414" s="28" t="str">
        <f aca="false">IF($A414="","",IF('3-Turizm İşletmeciliği'!E11="","",'3-Turizm İşletmeciliği'!E11))</f>
        <v/>
      </c>
      <c r="H414" s="28" t="str">
        <f aca="false">IF($A414="","",IF('3-Turizm İşletmeciliği'!F11="","",'3-Turizm İşletmeciliği'!F11))</f>
        <v/>
      </c>
      <c r="I414" s="28" t="str">
        <f aca="false">IF($A414="","",IF('3-Turizm İşletmeciliği'!G11="","",'3-Turizm İşletmeciliği'!G11))</f>
        <v/>
      </c>
      <c r="J414" s="28" t="str">
        <f aca="false">IF($A414="","",IF('3-Turizm İşletmeciliği'!H11="","",'3-Turizm İşletmeciliği'!H11))</f>
        <v/>
      </c>
      <c r="K414" s="28" t="str">
        <f aca="false">IF($A414="","",IF('3-Turizm İşletmeciliği'!I11="","",'3-Turizm İşletmeciliği'!I11))</f>
        <v/>
      </c>
      <c r="L414" s="28" t="str">
        <f aca="false">IF($I414="","",MATCH($I414,{"08.00";"09.00";"10.00";"11.00";"12.00";"13.00";"14.00";"15.00";"16.00";"17.00"},0))</f>
        <v/>
      </c>
      <c r="M414" s="28" t="str">
        <f aca="false">IF(OR($L414="",$J414=""),"",$L414+$J414-1)</f>
        <v/>
      </c>
      <c r="N414" s="28" t="str">
        <f aca="false">IF($A414="","",IF(OR($L414="",$M414=""),"",IF($M414&gt;10,"⚠ Saat Taşıyor","")))</f>
        <v/>
      </c>
      <c r="O414" s="28" t="str">
        <f aca="false">IF($A414="","",IF(OR($G414="",$H414="",$L414=""),"",IF(SUMPRODUCT(($A$7:$A$606&lt;&gt;"")*($G$7:$G$606=$G414)*($H$7:$H$606=$H414)*(ROW($A$7:$A$606)&lt;&gt;414)*($L$7:$L$606&lt;=$M414)*($M$7:$M$606&gt;=$L414))&gt;0,"⚠ Çakışma","OK")))</f>
        <v/>
      </c>
      <c r="P414" s="28" t="str">
        <f aca="false">IF($A414="","",IF(OR($K414="",$H414="",$L414=""),"",IF(SUMPRODUCT(($A$7:$A$606&lt;&gt;"")*($K$7:$K$606=$K414)*($H$7:$H$606=$H414)*(ROW($A$7:$A$606)&lt;&gt;414)*($L$7:$L$606&lt;=$M414)*($M$7:$M$606&gt;=$L414))&gt;0,"⚠ Çakışma","OK")))</f>
        <v/>
      </c>
      <c r="Q414" s="28" t="str">
        <f aca="false">IF($A414="","",IF(OR($E414="",$H414="",$L414=""),"",IF(SUMPRODUCT(($A$7:$A$606&lt;&gt;"")*($E$7:$E$606=$E414)*($H$7:$H$606=$H414)*(ROW($A$7:$A$606)&lt;&gt;414)*($L$7:$L$606&lt;=$M414)*($M$7:$M$606&gt;=$L414))&gt;0,"⚠ Çakışma","OK")))</f>
        <v/>
      </c>
      <c r="R414" s="28" t="str">
        <f aca="false">IF($A414="","",IF(OR($N414&lt;&gt;"",$O414="⚠ Çakışma",$P414="⚠ Çakışma",$Q414="⚠ Çakışma"),"⚠ Kontrol Et","✓ Uygun"))</f>
        <v/>
      </c>
    </row>
    <row r="415" customFormat="false" ht="13.5" hidden="false" customHeight="true" outlineLevel="0" collapsed="false">
      <c r="A415" s="28" t="str">
        <f aca="false">IF('3-Turizm İşletmeciliği'!A12="","","Turizm İşletmeciliği")</f>
        <v/>
      </c>
      <c r="B415" s="28" t="str">
        <f aca="false">IF($A415="","",IF('3-Turizm İşletmeciliği'!A12="","",'3-Turizm İşletmeciliği'!A12))</f>
        <v/>
      </c>
      <c r="C415" s="29" t="str">
        <f aca="false">IF($A415="","",IF('3-Turizm İşletmeciliği'!B12="","",'3-Turizm İşletmeciliği'!B12))</f>
        <v/>
      </c>
      <c r="D415" s="28" t="str">
        <f aca="false">IF($A415="","",IF('3-Turizm İşletmeciliği'!C12="","",'3-Turizm İşletmeciliği'!C12))</f>
        <v/>
      </c>
      <c r="E415" s="28" t="str">
        <f aca="false">IF($A415="","",$A415&amp;"-"&amp;$D415)</f>
        <v/>
      </c>
      <c r="F415" s="28" t="str">
        <f aca="false">IF($A415="","",IF('3-Turizm İşletmeciliği'!D12="","",'3-Turizm İşletmeciliği'!D12))</f>
        <v/>
      </c>
      <c r="G415" s="28" t="str">
        <f aca="false">IF($A415="","",IF('3-Turizm İşletmeciliği'!E12="","",'3-Turizm İşletmeciliği'!E12))</f>
        <v/>
      </c>
      <c r="H415" s="28" t="str">
        <f aca="false">IF($A415="","",IF('3-Turizm İşletmeciliği'!F12="","",'3-Turizm İşletmeciliği'!F12))</f>
        <v/>
      </c>
      <c r="I415" s="28" t="str">
        <f aca="false">IF($A415="","",IF('3-Turizm İşletmeciliği'!G12="","",'3-Turizm İşletmeciliği'!G12))</f>
        <v/>
      </c>
      <c r="J415" s="28" t="str">
        <f aca="false">IF($A415="","",IF('3-Turizm İşletmeciliği'!H12="","",'3-Turizm İşletmeciliği'!H12))</f>
        <v/>
      </c>
      <c r="K415" s="28" t="str">
        <f aca="false">IF($A415="","",IF('3-Turizm İşletmeciliği'!I12="","",'3-Turizm İşletmeciliği'!I12))</f>
        <v/>
      </c>
      <c r="L415" s="28" t="str">
        <f aca="false">IF($I415="","",MATCH($I415,{"08.00";"09.00";"10.00";"11.00";"12.00";"13.00";"14.00";"15.00";"16.00";"17.00"},0))</f>
        <v/>
      </c>
      <c r="M415" s="28" t="str">
        <f aca="false">IF(OR($L415="",$J415=""),"",$L415+$J415-1)</f>
        <v/>
      </c>
      <c r="N415" s="28" t="str">
        <f aca="false">IF($A415="","",IF(OR($L415="",$M415=""),"",IF($M415&gt;10,"⚠ Saat Taşıyor","")))</f>
        <v/>
      </c>
      <c r="O415" s="28" t="str">
        <f aca="false">IF($A415="","",IF(OR($G415="",$H415="",$L415=""),"",IF(SUMPRODUCT(($A$7:$A$606&lt;&gt;"")*($G$7:$G$606=$G415)*($H$7:$H$606=$H415)*(ROW($A$7:$A$606)&lt;&gt;415)*($L$7:$L$606&lt;=$M415)*($M$7:$M$606&gt;=$L415))&gt;0,"⚠ Çakışma","OK")))</f>
        <v/>
      </c>
      <c r="P415" s="28" t="str">
        <f aca="false">IF($A415="","",IF(OR($K415="",$H415="",$L415=""),"",IF(SUMPRODUCT(($A$7:$A$606&lt;&gt;"")*($K$7:$K$606=$K415)*($H$7:$H$606=$H415)*(ROW($A$7:$A$606)&lt;&gt;415)*($L$7:$L$606&lt;=$M415)*($M$7:$M$606&gt;=$L415))&gt;0,"⚠ Çakışma","OK")))</f>
        <v/>
      </c>
      <c r="Q415" s="28" t="str">
        <f aca="false">IF($A415="","",IF(OR($E415="",$H415="",$L415=""),"",IF(SUMPRODUCT(($A$7:$A$606&lt;&gt;"")*($E$7:$E$606=$E415)*($H$7:$H$606=$H415)*(ROW($A$7:$A$606)&lt;&gt;415)*($L$7:$L$606&lt;=$M415)*($M$7:$M$606&gt;=$L415))&gt;0,"⚠ Çakışma","OK")))</f>
        <v/>
      </c>
      <c r="R415" s="28" t="str">
        <f aca="false">IF($A415="","",IF(OR($N415&lt;&gt;"",$O415="⚠ Çakışma",$P415="⚠ Çakışma",$Q415="⚠ Çakışma"),"⚠ Kontrol Et","✓ Uygun"))</f>
        <v/>
      </c>
    </row>
    <row r="416" customFormat="false" ht="13.5" hidden="false" customHeight="true" outlineLevel="0" collapsed="false">
      <c r="A416" s="28" t="str">
        <f aca="false">IF('3-Turizm İşletmeciliği'!A13="","","Turizm İşletmeciliği")</f>
        <v/>
      </c>
      <c r="B416" s="28" t="str">
        <f aca="false">IF($A416="","",IF('3-Turizm İşletmeciliği'!A13="","",'3-Turizm İşletmeciliği'!A13))</f>
        <v/>
      </c>
      <c r="C416" s="29" t="str">
        <f aca="false">IF($A416="","",IF('3-Turizm İşletmeciliği'!B13="","",'3-Turizm İşletmeciliği'!B13))</f>
        <v/>
      </c>
      <c r="D416" s="28" t="str">
        <f aca="false">IF($A416="","",IF('3-Turizm İşletmeciliği'!C13="","",'3-Turizm İşletmeciliği'!C13))</f>
        <v/>
      </c>
      <c r="E416" s="28" t="str">
        <f aca="false">IF($A416="","",$A416&amp;"-"&amp;$D416)</f>
        <v/>
      </c>
      <c r="F416" s="28" t="str">
        <f aca="false">IF($A416="","",IF('3-Turizm İşletmeciliği'!D13="","",'3-Turizm İşletmeciliği'!D13))</f>
        <v/>
      </c>
      <c r="G416" s="28" t="str">
        <f aca="false">IF($A416="","",IF('3-Turizm İşletmeciliği'!E13="","",'3-Turizm İşletmeciliği'!E13))</f>
        <v/>
      </c>
      <c r="H416" s="28" t="str">
        <f aca="false">IF($A416="","",IF('3-Turizm İşletmeciliği'!F13="","",'3-Turizm İşletmeciliği'!F13))</f>
        <v/>
      </c>
      <c r="I416" s="28" t="str">
        <f aca="false">IF($A416="","",IF('3-Turizm İşletmeciliği'!G13="","",'3-Turizm İşletmeciliği'!G13))</f>
        <v/>
      </c>
      <c r="J416" s="28" t="str">
        <f aca="false">IF($A416="","",IF('3-Turizm İşletmeciliği'!H13="","",'3-Turizm İşletmeciliği'!H13))</f>
        <v/>
      </c>
      <c r="K416" s="28" t="str">
        <f aca="false">IF($A416="","",IF('3-Turizm İşletmeciliği'!I13="","",'3-Turizm İşletmeciliği'!I13))</f>
        <v/>
      </c>
      <c r="L416" s="28" t="str">
        <f aca="false">IF($I416="","",MATCH($I416,{"08.00";"09.00";"10.00";"11.00";"12.00";"13.00";"14.00";"15.00";"16.00";"17.00"},0))</f>
        <v/>
      </c>
      <c r="M416" s="28" t="str">
        <f aca="false">IF(OR($L416="",$J416=""),"",$L416+$J416-1)</f>
        <v/>
      </c>
      <c r="N416" s="28" t="str">
        <f aca="false">IF($A416="","",IF(OR($L416="",$M416=""),"",IF($M416&gt;10,"⚠ Saat Taşıyor","")))</f>
        <v/>
      </c>
      <c r="O416" s="28" t="str">
        <f aca="false">IF($A416="","",IF(OR($G416="",$H416="",$L416=""),"",IF(SUMPRODUCT(($A$7:$A$606&lt;&gt;"")*($G$7:$G$606=$G416)*($H$7:$H$606=$H416)*(ROW($A$7:$A$606)&lt;&gt;416)*($L$7:$L$606&lt;=$M416)*($M$7:$M$606&gt;=$L416))&gt;0,"⚠ Çakışma","OK")))</f>
        <v/>
      </c>
      <c r="P416" s="28" t="str">
        <f aca="false">IF($A416="","",IF(OR($K416="",$H416="",$L416=""),"",IF(SUMPRODUCT(($A$7:$A$606&lt;&gt;"")*($K$7:$K$606=$K416)*($H$7:$H$606=$H416)*(ROW($A$7:$A$606)&lt;&gt;416)*($L$7:$L$606&lt;=$M416)*($M$7:$M$606&gt;=$L416))&gt;0,"⚠ Çakışma","OK")))</f>
        <v/>
      </c>
      <c r="Q416" s="28" t="str">
        <f aca="false">IF($A416="","",IF(OR($E416="",$H416="",$L416=""),"",IF(SUMPRODUCT(($A$7:$A$606&lt;&gt;"")*($E$7:$E$606=$E416)*($H$7:$H$606=$H416)*(ROW($A$7:$A$606)&lt;&gt;416)*($L$7:$L$606&lt;=$M416)*($M$7:$M$606&gt;=$L416))&gt;0,"⚠ Çakışma","OK")))</f>
        <v/>
      </c>
      <c r="R416" s="28" t="str">
        <f aca="false">IF($A416="","",IF(OR($N416&lt;&gt;"",$O416="⚠ Çakışma",$P416="⚠ Çakışma",$Q416="⚠ Çakışma"),"⚠ Kontrol Et","✓ Uygun"))</f>
        <v/>
      </c>
    </row>
    <row r="417" customFormat="false" ht="13.5" hidden="false" customHeight="true" outlineLevel="0" collapsed="false">
      <c r="A417" s="28" t="str">
        <f aca="false">IF('3-Turizm İşletmeciliği'!A14="","","Turizm İşletmeciliği")</f>
        <v/>
      </c>
      <c r="B417" s="28" t="str">
        <f aca="false">IF($A417="","",IF('3-Turizm İşletmeciliği'!A14="","",'3-Turizm İşletmeciliği'!A14))</f>
        <v/>
      </c>
      <c r="C417" s="29" t="str">
        <f aca="false">IF($A417="","",IF('3-Turizm İşletmeciliği'!B14="","",'3-Turizm İşletmeciliği'!B14))</f>
        <v/>
      </c>
      <c r="D417" s="28" t="str">
        <f aca="false">IF($A417="","",IF('3-Turizm İşletmeciliği'!C14="","",'3-Turizm İşletmeciliği'!C14))</f>
        <v/>
      </c>
      <c r="E417" s="28" t="str">
        <f aca="false">IF($A417="","",$A417&amp;"-"&amp;$D417)</f>
        <v/>
      </c>
      <c r="F417" s="28" t="str">
        <f aca="false">IF($A417="","",IF('3-Turizm İşletmeciliği'!D14="","",'3-Turizm İşletmeciliği'!D14))</f>
        <v/>
      </c>
      <c r="G417" s="28" t="str">
        <f aca="false">IF($A417="","",IF('3-Turizm İşletmeciliği'!E14="","",'3-Turizm İşletmeciliği'!E14))</f>
        <v/>
      </c>
      <c r="H417" s="28" t="str">
        <f aca="false">IF($A417="","",IF('3-Turizm İşletmeciliği'!F14="","",'3-Turizm İşletmeciliği'!F14))</f>
        <v/>
      </c>
      <c r="I417" s="28" t="str">
        <f aca="false">IF($A417="","",IF('3-Turizm İşletmeciliği'!G14="","",'3-Turizm İşletmeciliği'!G14))</f>
        <v/>
      </c>
      <c r="J417" s="28" t="str">
        <f aca="false">IF($A417="","",IF('3-Turizm İşletmeciliği'!H14="","",'3-Turizm İşletmeciliği'!H14))</f>
        <v/>
      </c>
      <c r="K417" s="28" t="str">
        <f aca="false">IF($A417="","",IF('3-Turizm İşletmeciliği'!I14="","",'3-Turizm İşletmeciliği'!I14))</f>
        <v/>
      </c>
      <c r="L417" s="28" t="str">
        <f aca="false">IF($I417="","",MATCH($I417,{"08.00";"09.00";"10.00";"11.00";"12.00";"13.00";"14.00";"15.00";"16.00";"17.00"},0))</f>
        <v/>
      </c>
      <c r="M417" s="28" t="str">
        <f aca="false">IF(OR($L417="",$J417=""),"",$L417+$J417-1)</f>
        <v/>
      </c>
      <c r="N417" s="28" t="str">
        <f aca="false">IF($A417="","",IF(OR($L417="",$M417=""),"",IF($M417&gt;10,"⚠ Saat Taşıyor","")))</f>
        <v/>
      </c>
      <c r="O417" s="28" t="str">
        <f aca="false">IF($A417="","",IF(OR($G417="",$H417="",$L417=""),"",IF(SUMPRODUCT(($A$7:$A$606&lt;&gt;"")*($G$7:$G$606=$G417)*($H$7:$H$606=$H417)*(ROW($A$7:$A$606)&lt;&gt;417)*($L$7:$L$606&lt;=$M417)*($M$7:$M$606&gt;=$L417))&gt;0,"⚠ Çakışma","OK")))</f>
        <v/>
      </c>
      <c r="P417" s="28" t="str">
        <f aca="false">IF($A417="","",IF(OR($K417="",$H417="",$L417=""),"",IF(SUMPRODUCT(($A$7:$A$606&lt;&gt;"")*($K$7:$K$606=$K417)*($H$7:$H$606=$H417)*(ROW($A$7:$A$606)&lt;&gt;417)*($L$7:$L$606&lt;=$M417)*($M$7:$M$606&gt;=$L417))&gt;0,"⚠ Çakışma","OK")))</f>
        <v/>
      </c>
      <c r="Q417" s="28" t="str">
        <f aca="false">IF($A417="","",IF(OR($E417="",$H417="",$L417=""),"",IF(SUMPRODUCT(($A$7:$A$606&lt;&gt;"")*($E$7:$E$606=$E417)*($H$7:$H$606=$H417)*(ROW($A$7:$A$606)&lt;&gt;417)*($L$7:$L$606&lt;=$M417)*($M$7:$M$606&gt;=$L417))&gt;0,"⚠ Çakışma","OK")))</f>
        <v/>
      </c>
      <c r="R417" s="28" t="str">
        <f aca="false">IF($A417="","",IF(OR($N417&lt;&gt;"",$O417="⚠ Çakışma",$P417="⚠ Çakışma",$Q417="⚠ Çakışma"),"⚠ Kontrol Et","✓ Uygun"))</f>
        <v/>
      </c>
    </row>
    <row r="418" customFormat="false" ht="13.5" hidden="false" customHeight="true" outlineLevel="0" collapsed="false">
      <c r="A418" s="28" t="str">
        <f aca="false">IF('3-Turizm İşletmeciliği'!A15="","","Turizm İşletmeciliği")</f>
        <v/>
      </c>
      <c r="B418" s="28" t="str">
        <f aca="false">IF($A418="","",IF('3-Turizm İşletmeciliği'!A15="","",'3-Turizm İşletmeciliği'!A15))</f>
        <v/>
      </c>
      <c r="C418" s="29" t="str">
        <f aca="false">IF($A418="","",IF('3-Turizm İşletmeciliği'!B15="","",'3-Turizm İşletmeciliği'!B15))</f>
        <v/>
      </c>
      <c r="D418" s="28" t="str">
        <f aca="false">IF($A418="","",IF('3-Turizm İşletmeciliği'!C15="","",'3-Turizm İşletmeciliği'!C15))</f>
        <v/>
      </c>
      <c r="E418" s="28" t="str">
        <f aca="false">IF($A418="","",$A418&amp;"-"&amp;$D418)</f>
        <v/>
      </c>
      <c r="F418" s="28" t="str">
        <f aca="false">IF($A418="","",IF('3-Turizm İşletmeciliği'!D15="","",'3-Turizm İşletmeciliği'!D15))</f>
        <v/>
      </c>
      <c r="G418" s="28" t="str">
        <f aca="false">IF($A418="","",IF('3-Turizm İşletmeciliği'!E15="","",'3-Turizm İşletmeciliği'!E15))</f>
        <v/>
      </c>
      <c r="H418" s="28" t="str">
        <f aca="false">IF($A418="","",IF('3-Turizm İşletmeciliği'!F15="","",'3-Turizm İşletmeciliği'!F15))</f>
        <v/>
      </c>
      <c r="I418" s="28" t="str">
        <f aca="false">IF($A418="","",IF('3-Turizm İşletmeciliği'!G15="","",'3-Turizm İşletmeciliği'!G15))</f>
        <v/>
      </c>
      <c r="J418" s="28" t="str">
        <f aca="false">IF($A418="","",IF('3-Turizm İşletmeciliği'!H15="","",'3-Turizm İşletmeciliği'!H15))</f>
        <v/>
      </c>
      <c r="K418" s="28" t="str">
        <f aca="false">IF($A418="","",IF('3-Turizm İşletmeciliği'!I15="","",'3-Turizm İşletmeciliği'!I15))</f>
        <v/>
      </c>
      <c r="L418" s="28" t="str">
        <f aca="false">IF($I418="","",MATCH($I418,{"08.00";"09.00";"10.00";"11.00";"12.00";"13.00";"14.00";"15.00";"16.00";"17.00"},0))</f>
        <v/>
      </c>
      <c r="M418" s="28" t="str">
        <f aca="false">IF(OR($L418="",$J418=""),"",$L418+$J418-1)</f>
        <v/>
      </c>
      <c r="N418" s="28" t="str">
        <f aca="false">IF($A418="","",IF(OR($L418="",$M418=""),"",IF($M418&gt;10,"⚠ Saat Taşıyor","")))</f>
        <v/>
      </c>
      <c r="O418" s="28" t="str">
        <f aca="false">IF($A418="","",IF(OR($G418="",$H418="",$L418=""),"",IF(SUMPRODUCT(($A$7:$A$606&lt;&gt;"")*($G$7:$G$606=$G418)*($H$7:$H$606=$H418)*(ROW($A$7:$A$606)&lt;&gt;418)*($L$7:$L$606&lt;=$M418)*($M$7:$M$606&gt;=$L418))&gt;0,"⚠ Çakışma","OK")))</f>
        <v/>
      </c>
      <c r="P418" s="28" t="str">
        <f aca="false">IF($A418="","",IF(OR($K418="",$H418="",$L418=""),"",IF(SUMPRODUCT(($A$7:$A$606&lt;&gt;"")*($K$7:$K$606=$K418)*($H$7:$H$606=$H418)*(ROW($A$7:$A$606)&lt;&gt;418)*($L$7:$L$606&lt;=$M418)*($M$7:$M$606&gt;=$L418))&gt;0,"⚠ Çakışma","OK")))</f>
        <v/>
      </c>
      <c r="Q418" s="28" t="str">
        <f aca="false">IF($A418="","",IF(OR($E418="",$H418="",$L418=""),"",IF(SUMPRODUCT(($A$7:$A$606&lt;&gt;"")*($E$7:$E$606=$E418)*($H$7:$H$606=$H418)*(ROW($A$7:$A$606)&lt;&gt;418)*($L$7:$L$606&lt;=$M418)*($M$7:$M$606&gt;=$L418))&gt;0,"⚠ Çakışma","OK")))</f>
        <v/>
      </c>
      <c r="R418" s="28" t="str">
        <f aca="false">IF($A418="","",IF(OR($N418&lt;&gt;"",$O418="⚠ Çakışma",$P418="⚠ Çakışma",$Q418="⚠ Çakışma"),"⚠ Kontrol Et","✓ Uygun"))</f>
        <v/>
      </c>
    </row>
    <row r="419" customFormat="false" ht="13.5" hidden="false" customHeight="true" outlineLevel="0" collapsed="false">
      <c r="A419" s="28" t="str">
        <f aca="false">IF('3-Turizm İşletmeciliği'!A16="","","Turizm İşletmeciliği")</f>
        <v/>
      </c>
      <c r="B419" s="28" t="str">
        <f aca="false">IF($A419="","",IF('3-Turizm İşletmeciliği'!A16="","",'3-Turizm İşletmeciliği'!A16))</f>
        <v/>
      </c>
      <c r="C419" s="29" t="str">
        <f aca="false">IF($A419="","",IF('3-Turizm İşletmeciliği'!B16="","",'3-Turizm İşletmeciliği'!B16))</f>
        <v/>
      </c>
      <c r="D419" s="28" t="str">
        <f aca="false">IF($A419="","",IF('3-Turizm İşletmeciliği'!C16="","",'3-Turizm İşletmeciliği'!C16))</f>
        <v/>
      </c>
      <c r="E419" s="28" t="str">
        <f aca="false">IF($A419="","",$A419&amp;"-"&amp;$D419)</f>
        <v/>
      </c>
      <c r="F419" s="28" t="str">
        <f aca="false">IF($A419="","",IF('3-Turizm İşletmeciliği'!D16="","",'3-Turizm İşletmeciliği'!D16))</f>
        <v/>
      </c>
      <c r="G419" s="28" t="str">
        <f aca="false">IF($A419="","",IF('3-Turizm İşletmeciliği'!E16="","",'3-Turizm İşletmeciliği'!E16))</f>
        <v/>
      </c>
      <c r="H419" s="28" t="str">
        <f aca="false">IF($A419="","",IF('3-Turizm İşletmeciliği'!F16="","",'3-Turizm İşletmeciliği'!F16))</f>
        <v/>
      </c>
      <c r="I419" s="28" t="str">
        <f aca="false">IF($A419="","",IF('3-Turizm İşletmeciliği'!G16="","",'3-Turizm İşletmeciliği'!G16))</f>
        <v/>
      </c>
      <c r="J419" s="28" t="str">
        <f aca="false">IF($A419="","",IF('3-Turizm İşletmeciliği'!H16="","",'3-Turizm İşletmeciliği'!H16))</f>
        <v/>
      </c>
      <c r="K419" s="28" t="str">
        <f aca="false">IF($A419="","",IF('3-Turizm İşletmeciliği'!I16="","",'3-Turizm İşletmeciliği'!I16))</f>
        <v/>
      </c>
      <c r="L419" s="28" t="str">
        <f aca="false">IF($I419="","",MATCH($I419,{"08.00";"09.00";"10.00";"11.00";"12.00";"13.00";"14.00";"15.00";"16.00";"17.00"},0))</f>
        <v/>
      </c>
      <c r="M419" s="28" t="str">
        <f aca="false">IF(OR($L419="",$J419=""),"",$L419+$J419-1)</f>
        <v/>
      </c>
      <c r="N419" s="28" t="str">
        <f aca="false">IF($A419="","",IF(OR($L419="",$M419=""),"",IF($M419&gt;10,"⚠ Saat Taşıyor","")))</f>
        <v/>
      </c>
      <c r="O419" s="28" t="str">
        <f aca="false">IF($A419="","",IF(OR($G419="",$H419="",$L419=""),"",IF(SUMPRODUCT(($A$7:$A$606&lt;&gt;"")*($G$7:$G$606=$G419)*($H$7:$H$606=$H419)*(ROW($A$7:$A$606)&lt;&gt;419)*($L$7:$L$606&lt;=$M419)*($M$7:$M$606&gt;=$L419))&gt;0,"⚠ Çakışma","OK")))</f>
        <v/>
      </c>
      <c r="P419" s="28" t="str">
        <f aca="false">IF($A419="","",IF(OR($K419="",$H419="",$L419=""),"",IF(SUMPRODUCT(($A$7:$A$606&lt;&gt;"")*($K$7:$K$606=$K419)*($H$7:$H$606=$H419)*(ROW($A$7:$A$606)&lt;&gt;419)*($L$7:$L$606&lt;=$M419)*($M$7:$M$606&gt;=$L419))&gt;0,"⚠ Çakışma","OK")))</f>
        <v/>
      </c>
      <c r="Q419" s="28" t="str">
        <f aca="false">IF($A419="","",IF(OR($E419="",$H419="",$L419=""),"",IF(SUMPRODUCT(($A$7:$A$606&lt;&gt;"")*($E$7:$E$606=$E419)*($H$7:$H$606=$H419)*(ROW($A$7:$A$606)&lt;&gt;419)*($L$7:$L$606&lt;=$M419)*($M$7:$M$606&gt;=$L419))&gt;0,"⚠ Çakışma","OK")))</f>
        <v/>
      </c>
      <c r="R419" s="28" t="str">
        <f aca="false">IF($A419="","",IF(OR($N419&lt;&gt;"",$O419="⚠ Çakışma",$P419="⚠ Çakışma",$Q419="⚠ Çakışma"),"⚠ Kontrol Et","✓ Uygun"))</f>
        <v/>
      </c>
    </row>
    <row r="420" customFormat="false" ht="13.5" hidden="false" customHeight="true" outlineLevel="0" collapsed="false">
      <c r="A420" s="28" t="str">
        <f aca="false">IF('3-Turizm İşletmeciliği'!A17="","","Turizm İşletmeciliği")</f>
        <v/>
      </c>
      <c r="B420" s="28" t="str">
        <f aca="false">IF($A420="","",IF('3-Turizm İşletmeciliği'!A17="","",'3-Turizm İşletmeciliği'!A17))</f>
        <v/>
      </c>
      <c r="C420" s="29" t="str">
        <f aca="false">IF($A420="","",IF('3-Turizm İşletmeciliği'!B17="","",'3-Turizm İşletmeciliği'!B17))</f>
        <v/>
      </c>
      <c r="D420" s="28" t="str">
        <f aca="false">IF($A420="","",IF('3-Turizm İşletmeciliği'!C17="","",'3-Turizm İşletmeciliği'!C17))</f>
        <v/>
      </c>
      <c r="E420" s="28" t="str">
        <f aca="false">IF($A420="","",$A420&amp;"-"&amp;$D420)</f>
        <v/>
      </c>
      <c r="F420" s="28" t="str">
        <f aca="false">IF($A420="","",IF('3-Turizm İşletmeciliği'!D17="","",'3-Turizm İşletmeciliği'!D17))</f>
        <v/>
      </c>
      <c r="G420" s="28" t="str">
        <f aca="false">IF($A420="","",IF('3-Turizm İşletmeciliği'!E17="","",'3-Turizm İşletmeciliği'!E17))</f>
        <v/>
      </c>
      <c r="H420" s="28" t="str">
        <f aca="false">IF($A420="","",IF('3-Turizm İşletmeciliği'!F17="","",'3-Turizm İşletmeciliği'!F17))</f>
        <v/>
      </c>
      <c r="I420" s="28" t="str">
        <f aca="false">IF($A420="","",IF('3-Turizm İşletmeciliği'!G17="","",'3-Turizm İşletmeciliği'!G17))</f>
        <v/>
      </c>
      <c r="J420" s="28" t="str">
        <f aca="false">IF($A420="","",IF('3-Turizm İşletmeciliği'!H17="","",'3-Turizm İşletmeciliği'!H17))</f>
        <v/>
      </c>
      <c r="K420" s="28" t="str">
        <f aca="false">IF($A420="","",IF('3-Turizm İşletmeciliği'!I17="","",'3-Turizm İşletmeciliği'!I17))</f>
        <v/>
      </c>
      <c r="L420" s="28" t="str">
        <f aca="false">IF($I420="","",MATCH($I420,{"08.00";"09.00";"10.00";"11.00";"12.00";"13.00";"14.00";"15.00";"16.00";"17.00"},0))</f>
        <v/>
      </c>
      <c r="M420" s="28" t="str">
        <f aca="false">IF(OR($L420="",$J420=""),"",$L420+$J420-1)</f>
        <v/>
      </c>
      <c r="N420" s="28" t="str">
        <f aca="false">IF($A420="","",IF(OR($L420="",$M420=""),"",IF($M420&gt;10,"⚠ Saat Taşıyor","")))</f>
        <v/>
      </c>
      <c r="O420" s="28" t="str">
        <f aca="false">IF($A420="","",IF(OR($G420="",$H420="",$L420=""),"",IF(SUMPRODUCT(($A$7:$A$606&lt;&gt;"")*($G$7:$G$606=$G420)*($H$7:$H$606=$H420)*(ROW($A$7:$A$606)&lt;&gt;420)*($L$7:$L$606&lt;=$M420)*($M$7:$M$606&gt;=$L420))&gt;0,"⚠ Çakışma","OK")))</f>
        <v/>
      </c>
      <c r="P420" s="28" t="str">
        <f aca="false">IF($A420="","",IF(OR($K420="",$H420="",$L420=""),"",IF(SUMPRODUCT(($A$7:$A$606&lt;&gt;"")*($K$7:$K$606=$K420)*($H$7:$H$606=$H420)*(ROW($A$7:$A$606)&lt;&gt;420)*($L$7:$L$606&lt;=$M420)*($M$7:$M$606&gt;=$L420))&gt;0,"⚠ Çakışma","OK")))</f>
        <v/>
      </c>
      <c r="Q420" s="28" t="str">
        <f aca="false">IF($A420="","",IF(OR($E420="",$H420="",$L420=""),"",IF(SUMPRODUCT(($A$7:$A$606&lt;&gt;"")*($E$7:$E$606=$E420)*($H$7:$H$606=$H420)*(ROW($A$7:$A$606)&lt;&gt;420)*($L$7:$L$606&lt;=$M420)*($M$7:$M$606&gt;=$L420))&gt;0,"⚠ Çakışma","OK")))</f>
        <v/>
      </c>
      <c r="R420" s="28" t="str">
        <f aca="false">IF($A420="","",IF(OR($N420&lt;&gt;"",$O420="⚠ Çakışma",$P420="⚠ Çakışma",$Q420="⚠ Çakışma"),"⚠ Kontrol Et","✓ Uygun"))</f>
        <v/>
      </c>
    </row>
    <row r="421" customFormat="false" ht="13.5" hidden="false" customHeight="true" outlineLevel="0" collapsed="false">
      <c r="A421" s="28" t="str">
        <f aca="false">IF('3-Turizm İşletmeciliği'!A18="","","Turizm İşletmeciliği")</f>
        <v/>
      </c>
      <c r="B421" s="28" t="str">
        <f aca="false">IF($A421="","",IF('3-Turizm İşletmeciliği'!A18="","",'3-Turizm İşletmeciliği'!A18))</f>
        <v/>
      </c>
      <c r="C421" s="29" t="str">
        <f aca="false">IF($A421="","",IF('3-Turizm İşletmeciliği'!B18="","",'3-Turizm İşletmeciliği'!B18))</f>
        <v/>
      </c>
      <c r="D421" s="28" t="str">
        <f aca="false">IF($A421="","",IF('3-Turizm İşletmeciliği'!C18="","",'3-Turizm İşletmeciliği'!C18))</f>
        <v/>
      </c>
      <c r="E421" s="28" t="str">
        <f aca="false">IF($A421="","",$A421&amp;"-"&amp;$D421)</f>
        <v/>
      </c>
      <c r="F421" s="28" t="str">
        <f aca="false">IF($A421="","",IF('3-Turizm İşletmeciliği'!D18="","",'3-Turizm İşletmeciliği'!D18))</f>
        <v/>
      </c>
      <c r="G421" s="28" t="str">
        <f aca="false">IF($A421="","",IF('3-Turizm İşletmeciliği'!E18="","",'3-Turizm İşletmeciliği'!E18))</f>
        <v/>
      </c>
      <c r="H421" s="28" t="str">
        <f aca="false">IF($A421="","",IF('3-Turizm İşletmeciliği'!F18="","",'3-Turizm İşletmeciliği'!F18))</f>
        <v/>
      </c>
      <c r="I421" s="28" t="str">
        <f aca="false">IF($A421="","",IF('3-Turizm İşletmeciliği'!G18="","",'3-Turizm İşletmeciliği'!G18))</f>
        <v/>
      </c>
      <c r="J421" s="28" t="str">
        <f aca="false">IF($A421="","",IF('3-Turizm İşletmeciliği'!H18="","",'3-Turizm İşletmeciliği'!H18))</f>
        <v/>
      </c>
      <c r="K421" s="28" t="str">
        <f aca="false">IF($A421="","",IF('3-Turizm İşletmeciliği'!I18="","",'3-Turizm İşletmeciliği'!I18))</f>
        <v/>
      </c>
      <c r="L421" s="28" t="str">
        <f aca="false">IF($I421="","",MATCH($I421,{"08.00";"09.00";"10.00";"11.00";"12.00";"13.00";"14.00";"15.00";"16.00";"17.00"},0))</f>
        <v/>
      </c>
      <c r="M421" s="28" t="str">
        <f aca="false">IF(OR($L421="",$J421=""),"",$L421+$J421-1)</f>
        <v/>
      </c>
      <c r="N421" s="28" t="str">
        <f aca="false">IF($A421="","",IF(OR($L421="",$M421=""),"",IF($M421&gt;10,"⚠ Saat Taşıyor","")))</f>
        <v/>
      </c>
      <c r="O421" s="28" t="str">
        <f aca="false">IF($A421="","",IF(OR($G421="",$H421="",$L421=""),"",IF(SUMPRODUCT(($A$7:$A$606&lt;&gt;"")*($G$7:$G$606=$G421)*($H$7:$H$606=$H421)*(ROW($A$7:$A$606)&lt;&gt;421)*($L$7:$L$606&lt;=$M421)*($M$7:$M$606&gt;=$L421))&gt;0,"⚠ Çakışma","OK")))</f>
        <v/>
      </c>
      <c r="P421" s="28" t="str">
        <f aca="false">IF($A421="","",IF(OR($K421="",$H421="",$L421=""),"",IF(SUMPRODUCT(($A$7:$A$606&lt;&gt;"")*($K$7:$K$606=$K421)*($H$7:$H$606=$H421)*(ROW($A$7:$A$606)&lt;&gt;421)*($L$7:$L$606&lt;=$M421)*($M$7:$M$606&gt;=$L421))&gt;0,"⚠ Çakışma","OK")))</f>
        <v/>
      </c>
      <c r="Q421" s="28" t="str">
        <f aca="false">IF($A421="","",IF(OR($E421="",$H421="",$L421=""),"",IF(SUMPRODUCT(($A$7:$A$606&lt;&gt;"")*($E$7:$E$606=$E421)*($H$7:$H$606=$H421)*(ROW($A$7:$A$606)&lt;&gt;421)*($L$7:$L$606&lt;=$M421)*($M$7:$M$606&gt;=$L421))&gt;0,"⚠ Çakışma","OK")))</f>
        <v/>
      </c>
      <c r="R421" s="28" t="str">
        <f aca="false">IF($A421="","",IF(OR($N421&lt;&gt;"",$O421="⚠ Çakışma",$P421="⚠ Çakışma",$Q421="⚠ Çakışma"),"⚠ Kontrol Et","✓ Uygun"))</f>
        <v/>
      </c>
    </row>
    <row r="422" customFormat="false" ht="13.5" hidden="false" customHeight="true" outlineLevel="0" collapsed="false">
      <c r="A422" s="28" t="str">
        <f aca="false">IF('3-Turizm İşletmeciliği'!A19="","","Turizm İşletmeciliği")</f>
        <v/>
      </c>
      <c r="B422" s="28" t="str">
        <f aca="false">IF($A422="","",IF('3-Turizm İşletmeciliği'!A19="","",'3-Turizm İşletmeciliği'!A19))</f>
        <v/>
      </c>
      <c r="C422" s="29" t="str">
        <f aca="false">IF($A422="","",IF('3-Turizm İşletmeciliği'!B19="","",'3-Turizm İşletmeciliği'!B19))</f>
        <v/>
      </c>
      <c r="D422" s="28" t="str">
        <f aca="false">IF($A422="","",IF('3-Turizm İşletmeciliği'!C19="","",'3-Turizm İşletmeciliği'!C19))</f>
        <v/>
      </c>
      <c r="E422" s="28" t="str">
        <f aca="false">IF($A422="","",$A422&amp;"-"&amp;$D422)</f>
        <v/>
      </c>
      <c r="F422" s="28" t="str">
        <f aca="false">IF($A422="","",IF('3-Turizm İşletmeciliği'!D19="","",'3-Turizm İşletmeciliği'!D19))</f>
        <v/>
      </c>
      <c r="G422" s="28" t="str">
        <f aca="false">IF($A422="","",IF('3-Turizm İşletmeciliği'!E19="","",'3-Turizm İşletmeciliği'!E19))</f>
        <v/>
      </c>
      <c r="H422" s="28" t="str">
        <f aca="false">IF($A422="","",IF('3-Turizm İşletmeciliği'!F19="","",'3-Turizm İşletmeciliği'!F19))</f>
        <v/>
      </c>
      <c r="I422" s="28" t="str">
        <f aca="false">IF($A422="","",IF('3-Turizm İşletmeciliği'!G19="","",'3-Turizm İşletmeciliği'!G19))</f>
        <v/>
      </c>
      <c r="J422" s="28" t="str">
        <f aca="false">IF($A422="","",IF('3-Turizm İşletmeciliği'!H19="","",'3-Turizm İşletmeciliği'!H19))</f>
        <v/>
      </c>
      <c r="K422" s="28" t="str">
        <f aca="false">IF($A422="","",IF('3-Turizm İşletmeciliği'!I19="","",'3-Turizm İşletmeciliği'!I19))</f>
        <v/>
      </c>
      <c r="L422" s="28" t="str">
        <f aca="false">IF($I422="","",MATCH($I422,{"08.00";"09.00";"10.00";"11.00";"12.00";"13.00";"14.00";"15.00";"16.00";"17.00"},0))</f>
        <v/>
      </c>
      <c r="M422" s="28" t="str">
        <f aca="false">IF(OR($L422="",$J422=""),"",$L422+$J422-1)</f>
        <v/>
      </c>
      <c r="N422" s="28" t="str">
        <f aca="false">IF($A422="","",IF(OR($L422="",$M422=""),"",IF($M422&gt;10,"⚠ Saat Taşıyor","")))</f>
        <v/>
      </c>
      <c r="O422" s="28" t="str">
        <f aca="false">IF($A422="","",IF(OR($G422="",$H422="",$L422=""),"",IF(SUMPRODUCT(($A$7:$A$606&lt;&gt;"")*($G$7:$G$606=$G422)*($H$7:$H$606=$H422)*(ROW($A$7:$A$606)&lt;&gt;422)*($L$7:$L$606&lt;=$M422)*($M$7:$M$606&gt;=$L422))&gt;0,"⚠ Çakışma","OK")))</f>
        <v/>
      </c>
      <c r="P422" s="28" t="str">
        <f aca="false">IF($A422="","",IF(OR($K422="",$H422="",$L422=""),"",IF(SUMPRODUCT(($A$7:$A$606&lt;&gt;"")*($K$7:$K$606=$K422)*($H$7:$H$606=$H422)*(ROW($A$7:$A$606)&lt;&gt;422)*($L$7:$L$606&lt;=$M422)*($M$7:$M$606&gt;=$L422))&gt;0,"⚠ Çakışma","OK")))</f>
        <v/>
      </c>
      <c r="Q422" s="28" t="str">
        <f aca="false">IF($A422="","",IF(OR($E422="",$H422="",$L422=""),"",IF(SUMPRODUCT(($A$7:$A$606&lt;&gt;"")*($E$7:$E$606=$E422)*($H$7:$H$606=$H422)*(ROW($A$7:$A$606)&lt;&gt;422)*($L$7:$L$606&lt;=$M422)*($M$7:$M$606&gt;=$L422))&gt;0,"⚠ Çakışma","OK")))</f>
        <v/>
      </c>
      <c r="R422" s="28" t="str">
        <f aca="false">IF($A422="","",IF(OR($N422&lt;&gt;"",$O422="⚠ Çakışma",$P422="⚠ Çakışma",$Q422="⚠ Çakışma"),"⚠ Kontrol Et","✓ Uygun"))</f>
        <v/>
      </c>
    </row>
    <row r="423" customFormat="false" ht="13.5" hidden="false" customHeight="true" outlineLevel="0" collapsed="false">
      <c r="A423" s="28" t="str">
        <f aca="false">IF('3-Turizm İşletmeciliği'!A20="","","Turizm İşletmeciliği")</f>
        <v/>
      </c>
      <c r="B423" s="28" t="str">
        <f aca="false">IF($A423="","",IF('3-Turizm İşletmeciliği'!A20="","",'3-Turizm İşletmeciliği'!A20))</f>
        <v/>
      </c>
      <c r="C423" s="29" t="str">
        <f aca="false">IF($A423="","",IF('3-Turizm İşletmeciliği'!B20="","",'3-Turizm İşletmeciliği'!B20))</f>
        <v/>
      </c>
      <c r="D423" s="28" t="str">
        <f aca="false">IF($A423="","",IF('3-Turizm İşletmeciliği'!C20="","",'3-Turizm İşletmeciliği'!C20))</f>
        <v/>
      </c>
      <c r="E423" s="28" t="str">
        <f aca="false">IF($A423="","",$A423&amp;"-"&amp;$D423)</f>
        <v/>
      </c>
      <c r="F423" s="28" t="str">
        <f aca="false">IF($A423="","",IF('3-Turizm İşletmeciliği'!D20="","",'3-Turizm İşletmeciliği'!D20))</f>
        <v/>
      </c>
      <c r="G423" s="28" t="str">
        <f aca="false">IF($A423="","",IF('3-Turizm İşletmeciliği'!E20="","",'3-Turizm İşletmeciliği'!E20))</f>
        <v/>
      </c>
      <c r="H423" s="28" t="str">
        <f aca="false">IF($A423="","",IF('3-Turizm İşletmeciliği'!F20="","",'3-Turizm İşletmeciliği'!F20))</f>
        <v/>
      </c>
      <c r="I423" s="28" t="str">
        <f aca="false">IF($A423="","",IF('3-Turizm İşletmeciliği'!G20="","",'3-Turizm İşletmeciliği'!G20))</f>
        <v/>
      </c>
      <c r="J423" s="28" t="str">
        <f aca="false">IF($A423="","",IF('3-Turizm İşletmeciliği'!H20="","",'3-Turizm İşletmeciliği'!H20))</f>
        <v/>
      </c>
      <c r="K423" s="28" t="str">
        <f aca="false">IF($A423="","",IF('3-Turizm İşletmeciliği'!I20="","",'3-Turizm İşletmeciliği'!I20))</f>
        <v/>
      </c>
      <c r="L423" s="28" t="str">
        <f aca="false">IF($I423="","",MATCH($I423,{"08.00";"09.00";"10.00";"11.00";"12.00";"13.00";"14.00";"15.00";"16.00";"17.00"},0))</f>
        <v/>
      </c>
      <c r="M423" s="28" t="str">
        <f aca="false">IF(OR($L423="",$J423=""),"",$L423+$J423-1)</f>
        <v/>
      </c>
      <c r="N423" s="28" t="str">
        <f aca="false">IF($A423="","",IF(OR($L423="",$M423=""),"",IF($M423&gt;10,"⚠ Saat Taşıyor","")))</f>
        <v/>
      </c>
      <c r="O423" s="28" t="str">
        <f aca="false">IF($A423="","",IF(OR($G423="",$H423="",$L423=""),"",IF(SUMPRODUCT(($A$7:$A$606&lt;&gt;"")*($G$7:$G$606=$G423)*($H$7:$H$606=$H423)*(ROW($A$7:$A$606)&lt;&gt;423)*($L$7:$L$606&lt;=$M423)*($M$7:$M$606&gt;=$L423))&gt;0,"⚠ Çakışma","OK")))</f>
        <v/>
      </c>
      <c r="P423" s="28" t="str">
        <f aca="false">IF($A423="","",IF(OR($K423="",$H423="",$L423=""),"",IF(SUMPRODUCT(($A$7:$A$606&lt;&gt;"")*($K$7:$K$606=$K423)*($H$7:$H$606=$H423)*(ROW($A$7:$A$606)&lt;&gt;423)*($L$7:$L$606&lt;=$M423)*($M$7:$M$606&gt;=$L423))&gt;0,"⚠ Çakışma","OK")))</f>
        <v/>
      </c>
      <c r="Q423" s="28" t="str">
        <f aca="false">IF($A423="","",IF(OR($E423="",$H423="",$L423=""),"",IF(SUMPRODUCT(($A$7:$A$606&lt;&gt;"")*($E$7:$E$606=$E423)*($H$7:$H$606=$H423)*(ROW($A$7:$A$606)&lt;&gt;423)*($L$7:$L$606&lt;=$M423)*($M$7:$M$606&gt;=$L423))&gt;0,"⚠ Çakışma","OK")))</f>
        <v/>
      </c>
      <c r="R423" s="28" t="str">
        <f aca="false">IF($A423="","",IF(OR($N423&lt;&gt;"",$O423="⚠ Çakışma",$P423="⚠ Çakışma",$Q423="⚠ Çakışma"),"⚠ Kontrol Et","✓ Uygun"))</f>
        <v/>
      </c>
    </row>
    <row r="424" customFormat="false" ht="13.5" hidden="false" customHeight="true" outlineLevel="0" collapsed="false">
      <c r="A424" s="28" t="str">
        <f aca="false">IF('3-Turizm İşletmeciliği'!A21="","","Turizm İşletmeciliği")</f>
        <v/>
      </c>
      <c r="B424" s="28" t="str">
        <f aca="false">IF($A424="","",IF('3-Turizm İşletmeciliği'!A21="","",'3-Turizm İşletmeciliği'!A21))</f>
        <v/>
      </c>
      <c r="C424" s="29" t="str">
        <f aca="false">IF($A424="","",IF('3-Turizm İşletmeciliği'!B21="","",'3-Turizm İşletmeciliği'!B21))</f>
        <v/>
      </c>
      <c r="D424" s="28" t="str">
        <f aca="false">IF($A424="","",IF('3-Turizm İşletmeciliği'!C21="","",'3-Turizm İşletmeciliği'!C21))</f>
        <v/>
      </c>
      <c r="E424" s="28" t="str">
        <f aca="false">IF($A424="","",$A424&amp;"-"&amp;$D424)</f>
        <v/>
      </c>
      <c r="F424" s="28" t="str">
        <f aca="false">IF($A424="","",IF('3-Turizm İşletmeciliği'!D21="","",'3-Turizm İşletmeciliği'!D21))</f>
        <v/>
      </c>
      <c r="G424" s="28" t="str">
        <f aca="false">IF($A424="","",IF('3-Turizm İşletmeciliği'!E21="","",'3-Turizm İşletmeciliği'!E21))</f>
        <v/>
      </c>
      <c r="H424" s="28" t="str">
        <f aca="false">IF($A424="","",IF('3-Turizm İşletmeciliği'!F21="","",'3-Turizm İşletmeciliği'!F21))</f>
        <v/>
      </c>
      <c r="I424" s="28" t="str">
        <f aca="false">IF($A424="","",IF('3-Turizm İşletmeciliği'!G21="","",'3-Turizm İşletmeciliği'!G21))</f>
        <v/>
      </c>
      <c r="J424" s="28" t="str">
        <f aca="false">IF($A424="","",IF('3-Turizm İşletmeciliği'!H21="","",'3-Turizm İşletmeciliği'!H21))</f>
        <v/>
      </c>
      <c r="K424" s="28" t="str">
        <f aca="false">IF($A424="","",IF('3-Turizm İşletmeciliği'!I21="","",'3-Turizm İşletmeciliği'!I21))</f>
        <v/>
      </c>
      <c r="L424" s="28" t="str">
        <f aca="false">IF($I424="","",MATCH($I424,{"08.00";"09.00";"10.00";"11.00";"12.00";"13.00";"14.00";"15.00";"16.00";"17.00"},0))</f>
        <v/>
      </c>
      <c r="M424" s="28" t="str">
        <f aca="false">IF(OR($L424="",$J424=""),"",$L424+$J424-1)</f>
        <v/>
      </c>
      <c r="N424" s="28" t="str">
        <f aca="false">IF($A424="","",IF(OR($L424="",$M424=""),"",IF($M424&gt;10,"⚠ Saat Taşıyor","")))</f>
        <v/>
      </c>
      <c r="O424" s="28" t="str">
        <f aca="false">IF($A424="","",IF(OR($G424="",$H424="",$L424=""),"",IF(SUMPRODUCT(($A$7:$A$606&lt;&gt;"")*($G$7:$G$606=$G424)*($H$7:$H$606=$H424)*(ROW($A$7:$A$606)&lt;&gt;424)*($L$7:$L$606&lt;=$M424)*($M$7:$M$606&gt;=$L424))&gt;0,"⚠ Çakışma","OK")))</f>
        <v/>
      </c>
      <c r="P424" s="28" t="str">
        <f aca="false">IF($A424="","",IF(OR($K424="",$H424="",$L424=""),"",IF(SUMPRODUCT(($A$7:$A$606&lt;&gt;"")*($K$7:$K$606=$K424)*($H$7:$H$606=$H424)*(ROW($A$7:$A$606)&lt;&gt;424)*($L$7:$L$606&lt;=$M424)*($M$7:$M$606&gt;=$L424))&gt;0,"⚠ Çakışma","OK")))</f>
        <v/>
      </c>
      <c r="Q424" s="28" t="str">
        <f aca="false">IF($A424="","",IF(OR($E424="",$H424="",$L424=""),"",IF(SUMPRODUCT(($A$7:$A$606&lt;&gt;"")*($E$7:$E$606=$E424)*($H$7:$H$606=$H424)*(ROW($A$7:$A$606)&lt;&gt;424)*($L$7:$L$606&lt;=$M424)*($M$7:$M$606&gt;=$L424))&gt;0,"⚠ Çakışma","OK")))</f>
        <v/>
      </c>
      <c r="R424" s="28" t="str">
        <f aca="false">IF($A424="","",IF(OR($N424&lt;&gt;"",$O424="⚠ Çakışma",$P424="⚠ Çakışma",$Q424="⚠ Çakışma"),"⚠ Kontrol Et","✓ Uygun"))</f>
        <v/>
      </c>
    </row>
    <row r="425" customFormat="false" ht="13.5" hidden="false" customHeight="true" outlineLevel="0" collapsed="false">
      <c r="A425" s="28" t="str">
        <f aca="false">IF('3-Turizm İşletmeciliği'!A22="","","Turizm İşletmeciliği")</f>
        <v/>
      </c>
      <c r="B425" s="28" t="str">
        <f aca="false">IF($A425="","",IF('3-Turizm İşletmeciliği'!A22="","",'3-Turizm İşletmeciliği'!A22))</f>
        <v/>
      </c>
      <c r="C425" s="29" t="str">
        <f aca="false">IF($A425="","",IF('3-Turizm İşletmeciliği'!B22="","",'3-Turizm İşletmeciliği'!B22))</f>
        <v/>
      </c>
      <c r="D425" s="28" t="str">
        <f aca="false">IF($A425="","",IF('3-Turizm İşletmeciliği'!C22="","",'3-Turizm İşletmeciliği'!C22))</f>
        <v/>
      </c>
      <c r="E425" s="28" t="str">
        <f aca="false">IF($A425="","",$A425&amp;"-"&amp;$D425)</f>
        <v/>
      </c>
      <c r="F425" s="28" t="str">
        <f aca="false">IF($A425="","",IF('3-Turizm İşletmeciliği'!D22="","",'3-Turizm İşletmeciliği'!D22))</f>
        <v/>
      </c>
      <c r="G425" s="28" t="str">
        <f aca="false">IF($A425="","",IF('3-Turizm İşletmeciliği'!E22="","",'3-Turizm İşletmeciliği'!E22))</f>
        <v/>
      </c>
      <c r="H425" s="28" t="str">
        <f aca="false">IF($A425="","",IF('3-Turizm İşletmeciliği'!F22="","",'3-Turizm İşletmeciliği'!F22))</f>
        <v/>
      </c>
      <c r="I425" s="28" t="str">
        <f aca="false">IF($A425="","",IF('3-Turizm İşletmeciliği'!G22="","",'3-Turizm İşletmeciliği'!G22))</f>
        <v/>
      </c>
      <c r="J425" s="28" t="str">
        <f aca="false">IF($A425="","",IF('3-Turizm İşletmeciliği'!H22="","",'3-Turizm İşletmeciliği'!H22))</f>
        <v/>
      </c>
      <c r="K425" s="28" t="str">
        <f aca="false">IF($A425="","",IF('3-Turizm İşletmeciliği'!I22="","",'3-Turizm İşletmeciliği'!I22))</f>
        <v/>
      </c>
      <c r="L425" s="28" t="str">
        <f aca="false">IF($I425="","",MATCH($I425,{"08.00";"09.00";"10.00";"11.00";"12.00";"13.00";"14.00";"15.00";"16.00";"17.00"},0))</f>
        <v/>
      </c>
      <c r="M425" s="28" t="str">
        <f aca="false">IF(OR($L425="",$J425=""),"",$L425+$J425-1)</f>
        <v/>
      </c>
      <c r="N425" s="28" t="str">
        <f aca="false">IF($A425="","",IF(OR($L425="",$M425=""),"",IF($M425&gt;10,"⚠ Saat Taşıyor","")))</f>
        <v/>
      </c>
      <c r="O425" s="28" t="str">
        <f aca="false">IF($A425="","",IF(OR($G425="",$H425="",$L425=""),"",IF(SUMPRODUCT(($A$7:$A$606&lt;&gt;"")*($G$7:$G$606=$G425)*($H$7:$H$606=$H425)*(ROW($A$7:$A$606)&lt;&gt;425)*($L$7:$L$606&lt;=$M425)*($M$7:$M$606&gt;=$L425))&gt;0,"⚠ Çakışma","OK")))</f>
        <v/>
      </c>
      <c r="P425" s="28" t="str">
        <f aca="false">IF($A425="","",IF(OR($K425="",$H425="",$L425=""),"",IF(SUMPRODUCT(($A$7:$A$606&lt;&gt;"")*($K$7:$K$606=$K425)*($H$7:$H$606=$H425)*(ROW($A$7:$A$606)&lt;&gt;425)*($L$7:$L$606&lt;=$M425)*($M$7:$M$606&gt;=$L425))&gt;0,"⚠ Çakışma","OK")))</f>
        <v/>
      </c>
      <c r="Q425" s="28" t="str">
        <f aca="false">IF($A425="","",IF(OR($E425="",$H425="",$L425=""),"",IF(SUMPRODUCT(($A$7:$A$606&lt;&gt;"")*($E$7:$E$606=$E425)*($H$7:$H$606=$H425)*(ROW($A$7:$A$606)&lt;&gt;425)*($L$7:$L$606&lt;=$M425)*($M$7:$M$606&gt;=$L425))&gt;0,"⚠ Çakışma","OK")))</f>
        <v/>
      </c>
      <c r="R425" s="28" t="str">
        <f aca="false">IF($A425="","",IF(OR($N425&lt;&gt;"",$O425="⚠ Çakışma",$P425="⚠ Çakışma",$Q425="⚠ Çakışma"),"⚠ Kontrol Et","✓ Uygun"))</f>
        <v/>
      </c>
    </row>
    <row r="426" customFormat="false" ht="13.5" hidden="false" customHeight="true" outlineLevel="0" collapsed="false">
      <c r="A426" s="28" t="str">
        <f aca="false">IF('3-Turizm İşletmeciliği'!A23="","","Turizm İşletmeciliği")</f>
        <v/>
      </c>
      <c r="B426" s="28" t="str">
        <f aca="false">IF($A426="","",IF('3-Turizm İşletmeciliği'!A23="","",'3-Turizm İşletmeciliği'!A23))</f>
        <v/>
      </c>
      <c r="C426" s="29" t="str">
        <f aca="false">IF($A426="","",IF('3-Turizm İşletmeciliği'!B23="","",'3-Turizm İşletmeciliği'!B23))</f>
        <v/>
      </c>
      <c r="D426" s="28" t="str">
        <f aca="false">IF($A426="","",IF('3-Turizm İşletmeciliği'!C23="","",'3-Turizm İşletmeciliği'!C23))</f>
        <v/>
      </c>
      <c r="E426" s="28" t="str">
        <f aca="false">IF($A426="","",$A426&amp;"-"&amp;$D426)</f>
        <v/>
      </c>
      <c r="F426" s="28" t="str">
        <f aca="false">IF($A426="","",IF('3-Turizm İşletmeciliği'!D23="","",'3-Turizm İşletmeciliği'!D23))</f>
        <v/>
      </c>
      <c r="G426" s="28" t="str">
        <f aca="false">IF($A426="","",IF('3-Turizm İşletmeciliği'!E23="","",'3-Turizm İşletmeciliği'!E23))</f>
        <v/>
      </c>
      <c r="H426" s="28" t="str">
        <f aca="false">IF($A426="","",IF('3-Turizm İşletmeciliği'!F23="","",'3-Turizm İşletmeciliği'!F23))</f>
        <v/>
      </c>
      <c r="I426" s="28" t="str">
        <f aca="false">IF($A426="","",IF('3-Turizm İşletmeciliği'!G23="","",'3-Turizm İşletmeciliği'!G23))</f>
        <v/>
      </c>
      <c r="J426" s="28" t="str">
        <f aca="false">IF($A426="","",IF('3-Turizm İşletmeciliği'!H23="","",'3-Turizm İşletmeciliği'!H23))</f>
        <v/>
      </c>
      <c r="K426" s="28" t="str">
        <f aca="false">IF($A426="","",IF('3-Turizm İşletmeciliği'!I23="","",'3-Turizm İşletmeciliği'!I23))</f>
        <v/>
      </c>
      <c r="L426" s="28" t="str">
        <f aca="false">IF($I426="","",MATCH($I426,{"08.00";"09.00";"10.00";"11.00";"12.00";"13.00";"14.00";"15.00";"16.00";"17.00"},0))</f>
        <v/>
      </c>
      <c r="M426" s="28" t="str">
        <f aca="false">IF(OR($L426="",$J426=""),"",$L426+$J426-1)</f>
        <v/>
      </c>
      <c r="N426" s="28" t="str">
        <f aca="false">IF($A426="","",IF(OR($L426="",$M426=""),"",IF($M426&gt;10,"⚠ Saat Taşıyor","")))</f>
        <v/>
      </c>
      <c r="O426" s="28" t="str">
        <f aca="false">IF($A426="","",IF(OR($G426="",$H426="",$L426=""),"",IF(SUMPRODUCT(($A$7:$A$606&lt;&gt;"")*($G$7:$G$606=$G426)*($H$7:$H$606=$H426)*(ROW($A$7:$A$606)&lt;&gt;426)*($L$7:$L$606&lt;=$M426)*($M$7:$M$606&gt;=$L426))&gt;0,"⚠ Çakışma","OK")))</f>
        <v/>
      </c>
      <c r="P426" s="28" t="str">
        <f aca="false">IF($A426="","",IF(OR($K426="",$H426="",$L426=""),"",IF(SUMPRODUCT(($A$7:$A$606&lt;&gt;"")*($K$7:$K$606=$K426)*($H$7:$H$606=$H426)*(ROW($A$7:$A$606)&lt;&gt;426)*($L$7:$L$606&lt;=$M426)*($M$7:$M$606&gt;=$L426))&gt;0,"⚠ Çakışma","OK")))</f>
        <v/>
      </c>
      <c r="Q426" s="28" t="str">
        <f aca="false">IF($A426="","",IF(OR($E426="",$H426="",$L426=""),"",IF(SUMPRODUCT(($A$7:$A$606&lt;&gt;"")*($E$7:$E$606=$E426)*($H$7:$H$606=$H426)*(ROW($A$7:$A$606)&lt;&gt;426)*($L$7:$L$606&lt;=$M426)*($M$7:$M$606&gt;=$L426))&gt;0,"⚠ Çakışma","OK")))</f>
        <v/>
      </c>
      <c r="R426" s="28" t="str">
        <f aca="false">IF($A426="","",IF(OR($N426&lt;&gt;"",$O426="⚠ Çakışma",$P426="⚠ Çakışma",$Q426="⚠ Çakışma"),"⚠ Kontrol Et","✓ Uygun"))</f>
        <v/>
      </c>
    </row>
    <row r="427" customFormat="false" ht="13.5" hidden="false" customHeight="true" outlineLevel="0" collapsed="false">
      <c r="A427" s="28" t="str">
        <f aca="false">IF('3-Turizm İşletmeciliği'!A24="","","Turizm İşletmeciliği")</f>
        <v/>
      </c>
      <c r="B427" s="28" t="str">
        <f aca="false">IF($A427="","",IF('3-Turizm İşletmeciliği'!A24="","",'3-Turizm İşletmeciliği'!A24))</f>
        <v/>
      </c>
      <c r="C427" s="29" t="str">
        <f aca="false">IF($A427="","",IF('3-Turizm İşletmeciliği'!B24="","",'3-Turizm İşletmeciliği'!B24))</f>
        <v/>
      </c>
      <c r="D427" s="28" t="str">
        <f aca="false">IF($A427="","",IF('3-Turizm İşletmeciliği'!C24="","",'3-Turizm İşletmeciliği'!C24))</f>
        <v/>
      </c>
      <c r="E427" s="28" t="str">
        <f aca="false">IF($A427="","",$A427&amp;"-"&amp;$D427)</f>
        <v/>
      </c>
      <c r="F427" s="28" t="str">
        <f aca="false">IF($A427="","",IF('3-Turizm İşletmeciliği'!D24="","",'3-Turizm İşletmeciliği'!D24))</f>
        <v/>
      </c>
      <c r="G427" s="28" t="str">
        <f aca="false">IF($A427="","",IF('3-Turizm İşletmeciliği'!E24="","",'3-Turizm İşletmeciliği'!E24))</f>
        <v/>
      </c>
      <c r="H427" s="28" t="str">
        <f aca="false">IF($A427="","",IF('3-Turizm İşletmeciliği'!F24="","",'3-Turizm İşletmeciliği'!F24))</f>
        <v/>
      </c>
      <c r="I427" s="28" t="str">
        <f aca="false">IF($A427="","",IF('3-Turizm İşletmeciliği'!G24="","",'3-Turizm İşletmeciliği'!G24))</f>
        <v/>
      </c>
      <c r="J427" s="28" t="str">
        <f aca="false">IF($A427="","",IF('3-Turizm İşletmeciliği'!H24="","",'3-Turizm İşletmeciliği'!H24))</f>
        <v/>
      </c>
      <c r="K427" s="28" t="str">
        <f aca="false">IF($A427="","",IF('3-Turizm İşletmeciliği'!I24="","",'3-Turizm İşletmeciliği'!I24))</f>
        <v/>
      </c>
      <c r="L427" s="28" t="str">
        <f aca="false">IF($I427="","",MATCH($I427,{"08.00";"09.00";"10.00";"11.00";"12.00";"13.00";"14.00";"15.00";"16.00";"17.00"},0))</f>
        <v/>
      </c>
      <c r="M427" s="28" t="str">
        <f aca="false">IF(OR($L427="",$J427=""),"",$L427+$J427-1)</f>
        <v/>
      </c>
      <c r="N427" s="28" t="str">
        <f aca="false">IF($A427="","",IF(OR($L427="",$M427=""),"",IF($M427&gt;10,"⚠ Saat Taşıyor","")))</f>
        <v/>
      </c>
      <c r="O427" s="28" t="str">
        <f aca="false">IF($A427="","",IF(OR($G427="",$H427="",$L427=""),"",IF(SUMPRODUCT(($A$7:$A$606&lt;&gt;"")*($G$7:$G$606=$G427)*($H$7:$H$606=$H427)*(ROW($A$7:$A$606)&lt;&gt;427)*($L$7:$L$606&lt;=$M427)*($M$7:$M$606&gt;=$L427))&gt;0,"⚠ Çakışma","OK")))</f>
        <v/>
      </c>
      <c r="P427" s="28" t="str">
        <f aca="false">IF($A427="","",IF(OR($K427="",$H427="",$L427=""),"",IF(SUMPRODUCT(($A$7:$A$606&lt;&gt;"")*($K$7:$K$606=$K427)*($H$7:$H$606=$H427)*(ROW($A$7:$A$606)&lt;&gt;427)*($L$7:$L$606&lt;=$M427)*($M$7:$M$606&gt;=$L427))&gt;0,"⚠ Çakışma","OK")))</f>
        <v/>
      </c>
      <c r="Q427" s="28" t="str">
        <f aca="false">IF($A427="","",IF(OR($E427="",$H427="",$L427=""),"",IF(SUMPRODUCT(($A$7:$A$606&lt;&gt;"")*($E$7:$E$606=$E427)*($H$7:$H$606=$H427)*(ROW($A$7:$A$606)&lt;&gt;427)*($L$7:$L$606&lt;=$M427)*($M$7:$M$606&gt;=$L427))&gt;0,"⚠ Çakışma","OK")))</f>
        <v/>
      </c>
      <c r="R427" s="28" t="str">
        <f aca="false">IF($A427="","",IF(OR($N427&lt;&gt;"",$O427="⚠ Çakışma",$P427="⚠ Çakışma",$Q427="⚠ Çakışma"),"⚠ Kontrol Et","✓ Uygun"))</f>
        <v/>
      </c>
    </row>
    <row r="428" customFormat="false" ht="13.5" hidden="false" customHeight="true" outlineLevel="0" collapsed="false">
      <c r="A428" s="28" t="str">
        <f aca="false">IF('3-Turizm İşletmeciliği'!A25="","","Turizm İşletmeciliği")</f>
        <v/>
      </c>
      <c r="B428" s="28" t="str">
        <f aca="false">IF($A428="","",IF('3-Turizm İşletmeciliği'!A25="","",'3-Turizm İşletmeciliği'!A25))</f>
        <v/>
      </c>
      <c r="C428" s="29" t="str">
        <f aca="false">IF($A428="","",IF('3-Turizm İşletmeciliği'!B25="","",'3-Turizm İşletmeciliği'!B25))</f>
        <v/>
      </c>
      <c r="D428" s="28" t="str">
        <f aca="false">IF($A428="","",IF('3-Turizm İşletmeciliği'!C25="","",'3-Turizm İşletmeciliği'!C25))</f>
        <v/>
      </c>
      <c r="E428" s="28" t="str">
        <f aca="false">IF($A428="","",$A428&amp;"-"&amp;$D428)</f>
        <v/>
      </c>
      <c r="F428" s="28" t="str">
        <f aca="false">IF($A428="","",IF('3-Turizm İşletmeciliği'!D25="","",'3-Turizm İşletmeciliği'!D25))</f>
        <v/>
      </c>
      <c r="G428" s="28" t="str">
        <f aca="false">IF($A428="","",IF('3-Turizm İşletmeciliği'!E25="","",'3-Turizm İşletmeciliği'!E25))</f>
        <v/>
      </c>
      <c r="H428" s="28" t="str">
        <f aca="false">IF($A428="","",IF('3-Turizm İşletmeciliği'!F25="","",'3-Turizm İşletmeciliği'!F25))</f>
        <v/>
      </c>
      <c r="I428" s="28" t="str">
        <f aca="false">IF($A428="","",IF('3-Turizm İşletmeciliği'!G25="","",'3-Turizm İşletmeciliği'!G25))</f>
        <v/>
      </c>
      <c r="J428" s="28" t="str">
        <f aca="false">IF($A428="","",IF('3-Turizm İşletmeciliği'!H25="","",'3-Turizm İşletmeciliği'!H25))</f>
        <v/>
      </c>
      <c r="K428" s="28" t="str">
        <f aca="false">IF($A428="","",IF('3-Turizm İşletmeciliği'!I25="","",'3-Turizm İşletmeciliği'!I25))</f>
        <v/>
      </c>
      <c r="L428" s="28" t="str">
        <f aca="false">IF($I428="","",MATCH($I428,{"08.00";"09.00";"10.00";"11.00";"12.00";"13.00";"14.00";"15.00";"16.00";"17.00"},0))</f>
        <v/>
      </c>
      <c r="M428" s="28" t="str">
        <f aca="false">IF(OR($L428="",$J428=""),"",$L428+$J428-1)</f>
        <v/>
      </c>
      <c r="N428" s="28" t="str">
        <f aca="false">IF($A428="","",IF(OR($L428="",$M428=""),"",IF($M428&gt;10,"⚠ Saat Taşıyor","")))</f>
        <v/>
      </c>
      <c r="O428" s="28" t="str">
        <f aca="false">IF($A428="","",IF(OR($G428="",$H428="",$L428=""),"",IF(SUMPRODUCT(($A$7:$A$606&lt;&gt;"")*($G$7:$G$606=$G428)*($H$7:$H$606=$H428)*(ROW($A$7:$A$606)&lt;&gt;428)*($L$7:$L$606&lt;=$M428)*($M$7:$M$606&gt;=$L428))&gt;0,"⚠ Çakışma","OK")))</f>
        <v/>
      </c>
      <c r="P428" s="28" t="str">
        <f aca="false">IF($A428="","",IF(OR($K428="",$H428="",$L428=""),"",IF(SUMPRODUCT(($A$7:$A$606&lt;&gt;"")*($K$7:$K$606=$K428)*($H$7:$H$606=$H428)*(ROW($A$7:$A$606)&lt;&gt;428)*($L$7:$L$606&lt;=$M428)*($M$7:$M$606&gt;=$L428))&gt;0,"⚠ Çakışma","OK")))</f>
        <v/>
      </c>
      <c r="Q428" s="28" t="str">
        <f aca="false">IF($A428="","",IF(OR($E428="",$H428="",$L428=""),"",IF(SUMPRODUCT(($A$7:$A$606&lt;&gt;"")*($E$7:$E$606=$E428)*($H$7:$H$606=$H428)*(ROW($A$7:$A$606)&lt;&gt;428)*($L$7:$L$606&lt;=$M428)*($M$7:$M$606&gt;=$L428))&gt;0,"⚠ Çakışma","OK")))</f>
        <v/>
      </c>
      <c r="R428" s="28" t="str">
        <f aca="false">IF($A428="","",IF(OR($N428&lt;&gt;"",$O428="⚠ Çakışma",$P428="⚠ Çakışma",$Q428="⚠ Çakışma"),"⚠ Kontrol Et","✓ Uygun"))</f>
        <v/>
      </c>
    </row>
    <row r="429" customFormat="false" ht="13.5" hidden="false" customHeight="true" outlineLevel="0" collapsed="false">
      <c r="A429" s="28" t="str">
        <f aca="false">IF('3-Turizm İşletmeciliği'!A26="","","Turizm İşletmeciliği")</f>
        <v/>
      </c>
      <c r="B429" s="28" t="str">
        <f aca="false">IF($A429="","",IF('3-Turizm İşletmeciliği'!A26="","",'3-Turizm İşletmeciliği'!A26))</f>
        <v/>
      </c>
      <c r="C429" s="29" t="str">
        <f aca="false">IF($A429="","",IF('3-Turizm İşletmeciliği'!B26="","",'3-Turizm İşletmeciliği'!B26))</f>
        <v/>
      </c>
      <c r="D429" s="28" t="str">
        <f aca="false">IF($A429="","",IF('3-Turizm İşletmeciliği'!C26="","",'3-Turizm İşletmeciliği'!C26))</f>
        <v/>
      </c>
      <c r="E429" s="28" t="str">
        <f aca="false">IF($A429="","",$A429&amp;"-"&amp;$D429)</f>
        <v/>
      </c>
      <c r="F429" s="28" t="str">
        <f aca="false">IF($A429="","",IF('3-Turizm İşletmeciliği'!D26="","",'3-Turizm İşletmeciliği'!D26))</f>
        <v/>
      </c>
      <c r="G429" s="28" t="str">
        <f aca="false">IF($A429="","",IF('3-Turizm İşletmeciliği'!E26="","",'3-Turizm İşletmeciliği'!E26))</f>
        <v/>
      </c>
      <c r="H429" s="28" t="str">
        <f aca="false">IF($A429="","",IF('3-Turizm İşletmeciliği'!F26="","",'3-Turizm İşletmeciliği'!F26))</f>
        <v/>
      </c>
      <c r="I429" s="28" t="str">
        <f aca="false">IF($A429="","",IF('3-Turizm İşletmeciliği'!G26="","",'3-Turizm İşletmeciliği'!G26))</f>
        <v/>
      </c>
      <c r="J429" s="28" t="str">
        <f aca="false">IF($A429="","",IF('3-Turizm İşletmeciliği'!H26="","",'3-Turizm İşletmeciliği'!H26))</f>
        <v/>
      </c>
      <c r="K429" s="28" t="str">
        <f aca="false">IF($A429="","",IF('3-Turizm İşletmeciliği'!I26="","",'3-Turizm İşletmeciliği'!I26))</f>
        <v/>
      </c>
      <c r="L429" s="28" t="str">
        <f aca="false">IF($I429="","",MATCH($I429,{"08.00";"09.00";"10.00";"11.00";"12.00";"13.00";"14.00";"15.00";"16.00";"17.00"},0))</f>
        <v/>
      </c>
      <c r="M429" s="28" t="str">
        <f aca="false">IF(OR($L429="",$J429=""),"",$L429+$J429-1)</f>
        <v/>
      </c>
      <c r="N429" s="28" t="str">
        <f aca="false">IF($A429="","",IF(OR($L429="",$M429=""),"",IF($M429&gt;10,"⚠ Saat Taşıyor","")))</f>
        <v/>
      </c>
      <c r="O429" s="28" t="str">
        <f aca="false">IF($A429="","",IF(OR($G429="",$H429="",$L429=""),"",IF(SUMPRODUCT(($A$7:$A$606&lt;&gt;"")*($G$7:$G$606=$G429)*($H$7:$H$606=$H429)*(ROW($A$7:$A$606)&lt;&gt;429)*($L$7:$L$606&lt;=$M429)*($M$7:$M$606&gt;=$L429))&gt;0,"⚠ Çakışma","OK")))</f>
        <v/>
      </c>
      <c r="P429" s="28" t="str">
        <f aca="false">IF($A429="","",IF(OR($K429="",$H429="",$L429=""),"",IF(SUMPRODUCT(($A$7:$A$606&lt;&gt;"")*($K$7:$K$606=$K429)*($H$7:$H$606=$H429)*(ROW($A$7:$A$606)&lt;&gt;429)*($L$7:$L$606&lt;=$M429)*($M$7:$M$606&gt;=$L429))&gt;0,"⚠ Çakışma","OK")))</f>
        <v/>
      </c>
      <c r="Q429" s="28" t="str">
        <f aca="false">IF($A429="","",IF(OR($E429="",$H429="",$L429=""),"",IF(SUMPRODUCT(($A$7:$A$606&lt;&gt;"")*($E$7:$E$606=$E429)*($H$7:$H$606=$H429)*(ROW($A$7:$A$606)&lt;&gt;429)*($L$7:$L$606&lt;=$M429)*($M$7:$M$606&gt;=$L429))&gt;0,"⚠ Çakışma","OK")))</f>
        <v/>
      </c>
      <c r="R429" s="28" t="str">
        <f aca="false">IF($A429="","",IF(OR($N429&lt;&gt;"",$O429="⚠ Çakışma",$P429="⚠ Çakışma",$Q429="⚠ Çakışma"),"⚠ Kontrol Et","✓ Uygun"))</f>
        <v/>
      </c>
    </row>
    <row r="430" customFormat="false" ht="13.5" hidden="false" customHeight="true" outlineLevel="0" collapsed="false">
      <c r="A430" s="28" t="str">
        <f aca="false">IF('3-Turizm İşletmeciliği'!A27="","","Turizm İşletmeciliği")</f>
        <v/>
      </c>
      <c r="B430" s="28" t="str">
        <f aca="false">IF($A430="","",IF('3-Turizm İşletmeciliği'!A27="","",'3-Turizm İşletmeciliği'!A27))</f>
        <v/>
      </c>
      <c r="C430" s="29" t="str">
        <f aca="false">IF($A430="","",IF('3-Turizm İşletmeciliği'!B27="","",'3-Turizm İşletmeciliği'!B27))</f>
        <v/>
      </c>
      <c r="D430" s="28" t="str">
        <f aca="false">IF($A430="","",IF('3-Turizm İşletmeciliği'!C27="","",'3-Turizm İşletmeciliği'!C27))</f>
        <v/>
      </c>
      <c r="E430" s="28" t="str">
        <f aca="false">IF($A430="","",$A430&amp;"-"&amp;$D430)</f>
        <v/>
      </c>
      <c r="F430" s="28" t="str">
        <f aca="false">IF($A430="","",IF('3-Turizm İşletmeciliği'!D27="","",'3-Turizm İşletmeciliği'!D27))</f>
        <v/>
      </c>
      <c r="G430" s="28" t="str">
        <f aca="false">IF($A430="","",IF('3-Turizm İşletmeciliği'!E27="","",'3-Turizm İşletmeciliği'!E27))</f>
        <v/>
      </c>
      <c r="H430" s="28" t="str">
        <f aca="false">IF($A430="","",IF('3-Turizm İşletmeciliği'!F27="","",'3-Turizm İşletmeciliği'!F27))</f>
        <v/>
      </c>
      <c r="I430" s="28" t="str">
        <f aca="false">IF($A430="","",IF('3-Turizm İşletmeciliği'!G27="","",'3-Turizm İşletmeciliği'!G27))</f>
        <v/>
      </c>
      <c r="J430" s="28" t="str">
        <f aca="false">IF($A430="","",IF('3-Turizm İşletmeciliği'!H27="","",'3-Turizm İşletmeciliği'!H27))</f>
        <v/>
      </c>
      <c r="K430" s="28" t="str">
        <f aca="false">IF($A430="","",IF('3-Turizm İşletmeciliği'!I27="","",'3-Turizm İşletmeciliği'!I27))</f>
        <v/>
      </c>
      <c r="L430" s="28" t="str">
        <f aca="false">IF($I430="","",MATCH($I430,{"08.00";"09.00";"10.00";"11.00";"12.00";"13.00";"14.00";"15.00";"16.00";"17.00"},0))</f>
        <v/>
      </c>
      <c r="M430" s="28" t="str">
        <f aca="false">IF(OR($L430="",$J430=""),"",$L430+$J430-1)</f>
        <v/>
      </c>
      <c r="N430" s="28" t="str">
        <f aca="false">IF($A430="","",IF(OR($L430="",$M430=""),"",IF($M430&gt;10,"⚠ Saat Taşıyor","")))</f>
        <v/>
      </c>
      <c r="O430" s="28" t="str">
        <f aca="false">IF($A430="","",IF(OR($G430="",$H430="",$L430=""),"",IF(SUMPRODUCT(($A$7:$A$606&lt;&gt;"")*($G$7:$G$606=$G430)*($H$7:$H$606=$H430)*(ROW($A$7:$A$606)&lt;&gt;430)*($L$7:$L$606&lt;=$M430)*($M$7:$M$606&gt;=$L430))&gt;0,"⚠ Çakışma","OK")))</f>
        <v/>
      </c>
      <c r="P430" s="28" t="str">
        <f aca="false">IF($A430="","",IF(OR($K430="",$H430="",$L430=""),"",IF(SUMPRODUCT(($A$7:$A$606&lt;&gt;"")*($K$7:$K$606=$K430)*($H$7:$H$606=$H430)*(ROW($A$7:$A$606)&lt;&gt;430)*($L$7:$L$606&lt;=$M430)*($M$7:$M$606&gt;=$L430))&gt;0,"⚠ Çakışma","OK")))</f>
        <v/>
      </c>
      <c r="Q430" s="28" t="str">
        <f aca="false">IF($A430="","",IF(OR($E430="",$H430="",$L430=""),"",IF(SUMPRODUCT(($A$7:$A$606&lt;&gt;"")*($E$7:$E$606=$E430)*($H$7:$H$606=$H430)*(ROW($A$7:$A$606)&lt;&gt;430)*($L$7:$L$606&lt;=$M430)*($M$7:$M$606&gt;=$L430))&gt;0,"⚠ Çakışma","OK")))</f>
        <v/>
      </c>
      <c r="R430" s="28" t="str">
        <f aca="false">IF($A430="","",IF(OR($N430&lt;&gt;"",$O430="⚠ Çakışma",$P430="⚠ Çakışma",$Q430="⚠ Çakışma"),"⚠ Kontrol Et","✓ Uygun"))</f>
        <v/>
      </c>
    </row>
    <row r="431" customFormat="false" ht="13.5" hidden="false" customHeight="true" outlineLevel="0" collapsed="false">
      <c r="A431" s="28" t="str">
        <f aca="false">IF('3-Turizm İşletmeciliği'!A28="","","Turizm İşletmeciliği")</f>
        <v/>
      </c>
      <c r="B431" s="28" t="str">
        <f aca="false">IF($A431="","",IF('3-Turizm İşletmeciliği'!A28="","",'3-Turizm İşletmeciliği'!A28))</f>
        <v/>
      </c>
      <c r="C431" s="29" t="str">
        <f aca="false">IF($A431="","",IF('3-Turizm İşletmeciliği'!B28="","",'3-Turizm İşletmeciliği'!B28))</f>
        <v/>
      </c>
      <c r="D431" s="28" t="str">
        <f aca="false">IF($A431="","",IF('3-Turizm İşletmeciliği'!C28="","",'3-Turizm İşletmeciliği'!C28))</f>
        <v/>
      </c>
      <c r="E431" s="28" t="str">
        <f aca="false">IF($A431="","",$A431&amp;"-"&amp;$D431)</f>
        <v/>
      </c>
      <c r="F431" s="28" t="str">
        <f aca="false">IF($A431="","",IF('3-Turizm İşletmeciliği'!D28="","",'3-Turizm İşletmeciliği'!D28))</f>
        <v/>
      </c>
      <c r="G431" s="28" t="str">
        <f aca="false">IF($A431="","",IF('3-Turizm İşletmeciliği'!E28="","",'3-Turizm İşletmeciliği'!E28))</f>
        <v/>
      </c>
      <c r="H431" s="28" t="str">
        <f aca="false">IF($A431="","",IF('3-Turizm İşletmeciliği'!F28="","",'3-Turizm İşletmeciliği'!F28))</f>
        <v/>
      </c>
      <c r="I431" s="28" t="str">
        <f aca="false">IF($A431="","",IF('3-Turizm İşletmeciliği'!G28="","",'3-Turizm İşletmeciliği'!G28))</f>
        <v/>
      </c>
      <c r="J431" s="28" t="str">
        <f aca="false">IF($A431="","",IF('3-Turizm İşletmeciliği'!H28="","",'3-Turizm İşletmeciliği'!H28))</f>
        <v/>
      </c>
      <c r="K431" s="28" t="str">
        <f aca="false">IF($A431="","",IF('3-Turizm İşletmeciliği'!I28="","",'3-Turizm İşletmeciliği'!I28))</f>
        <v/>
      </c>
      <c r="L431" s="28" t="str">
        <f aca="false">IF($I431="","",MATCH($I431,{"08.00";"09.00";"10.00";"11.00";"12.00";"13.00";"14.00";"15.00";"16.00";"17.00"},0))</f>
        <v/>
      </c>
      <c r="M431" s="28" t="str">
        <f aca="false">IF(OR($L431="",$J431=""),"",$L431+$J431-1)</f>
        <v/>
      </c>
      <c r="N431" s="28" t="str">
        <f aca="false">IF($A431="","",IF(OR($L431="",$M431=""),"",IF($M431&gt;10,"⚠ Saat Taşıyor","")))</f>
        <v/>
      </c>
      <c r="O431" s="28" t="str">
        <f aca="false">IF($A431="","",IF(OR($G431="",$H431="",$L431=""),"",IF(SUMPRODUCT(($A$7:$A$606&lt;&gt;"")*($G$7:$G$606=$G431)*($H$7:$H$606=$H431)*(ROW($A$7:$A$606)&lt;&gt;431)*($L$7:$L$606&lt;=$M431)*($M$7:$M$606&gt;=$L431))&gt;0,"⚠ Çakışma","OK")))</f>
        <v/>
      </c>
      <c r="P431" s="28" t="str">
        <f aca="false">IF($A431="","",IF(OR($K431="",$H431="",$L431=""),"",IF(SUMPRODUCT(($A$7:$A$606&lt;&gt;"")*($K$7:$K$606=$K431)*($H$7:$H$606=$H431)*(ROW($A$7:$A$606)&lt;&gt;431)*($L$7:$L$606&lt;=$M431)*($M$7:$M$606&gt;=$L431))&gt;0,"⚠ Çakışma","OK")))</f>
        <v/>
      </c>
      <c r="Q431" s="28" t="str">
        <f aca="false">IF($A431="","",IF(OR($E431="",$H431="",$L431=""),"",IF(SUMPRODUCT(($A$7:$A$606&lt;&gt;"")*($E$7:$E$606=$E431)*($H$7:$H$606=$H431)*(ROW($A$7:$A$606)&lt;&gt;431)*($L$7:$L$606&lt;=$M431)*($M$7:$M$606&gt;=$L431))&gt;0,"⚠ Çakışma","OK")))</f>
        <v/>
      </c>
      <c r="R431" s="28" t="str">
        <f aca="false">IF($A431="","",IF(OR($N431&lt;&gt;"",$O431="⚠ Çakışma",$P431="⚠ Çakışma",$Q431="⚠ Çakışma"),"⚠ Kontrol Et","✓ Uygun"))</f>
        <v/>
      </c>
    </row>
    <row r="432" customFormat="false" ht="13.5" hidden="false" customHeight="true" outlineLevel="0" collapsed="false">
      <c r="A432" s="28" t="str">
        <f aca="false">IF('3-Turizm İşletmeciliği'!A29="","","Turizm İşletmeciliği")</f>
        <v/>
      </c>
      <c r="B432" s="28" t="str">
        <f aca="false">IF($A432="","",IF('3-Turizm İşletmeciliği'!A29="","",'3-Turizm İşletmeciliği'!A29))</f>
        <v/>
      </c>
      <c r="C432" s="29" t="str">
        <f aca="false">IF($A432="","",IF('3-Turizm İşletmeciliği'!B29="","",'3-Turizm İşletmeciliği'!B29))</f>
        <v/>
      </c>
      <c r="D432" s="28" t="str">
        <f aca="false">IF($A432="","",IF('3-Turizm İşletmeciliği'!C29="","",'3-Turizm İşletmeciliği'!C29))</f>
        <v/>
      </c>
      <c r="E432" s="28" t="str">
        <f aca="false">IF($A432="","",$A432&amp;"-"&amp;$D432)</f>
        <v/>
      </c>
      <c r="F432" s="28" t="str">
        <f aca="false">IF($A432="","",IF('3-Turizm İşletmeciliği'!D29="","",'3-Turizm İşletmeciliği'!D29))</f>
        <v/>
      </c>
      <c r="G432" s="28" t="str">
        <f aca="false">IF($A432="","",IF('3-Turizm İşletmeciliği'!E29="","",'3-Turizm İşletmeciliği'!E29))</f>
        <v/>
      </c>
      <c r="H432" s="28" t="str">
        <f aca="false">IF($A432="","",IF('3-Turizm İşletmeciliği'!F29="","",'3-Turizm İşletmeciliği'!F29))</f>
        <v/>
      </c>
      <c r="I432" s="28" t="str">
        <f aca="false">IF($A432="","",IF('3-Turizm İşletmeciliği'!G29="","",'3-Turizm İşletmeciliği'!G29))</f>
        <v/>
      </c>
      <c r="J432" s="28" t="str">
        <f aca="false">IF($A432="","",IF('3-Turizm İşletmeciliği'!H29="","",'3-Turizm İşletmeciliği'!H29))</f>
        <v/>
      </c>
      <c r="K432" s="28" t="str">
        <f aca="false">IF($A432="","",IF('3-Turizm İşletmeciliği'!I29="","",'3-Turizm İşletmeciliği'!I29))</f>
        <v/>
      </c>
      <c r="L432" s="28" t="str">
        <f aca="false">IF($I432="","",MATCH($I432,{"08.00";"09.00";"10.00";"11.00";"12.00";"13.00";"14.00";"15.00";"16.00";"17.00"},0))</f>
        <v/>
      </c>
      <c r="M432" s="28" t="str">
        <f aca="false">IF(OR($L432="",$J432=""),"",$L432+$J432-1)</f>
        <v/>
      </c>
      <c r="N432" s="28" t="str">
        <f aca="false">IF($A432="","",IF(OR($L432="",$M432=""),"",IF($M432&gt;10,"⚠ Saat Taşıyor","")))</f>
        <v/>
      </c>
      <c r="O432" s="28" t="str">
        <f aca="false">IF($A432="","",IF(OR($G432="",$H432="",$L432=""),"",IF(SUMPRODUCT(($A$7:$A$606&lt;&gt;"")*($G$7:$G$606=$G432)*($H$7:$H$606=$H432)*(ROW($A$7:$A$606)&lt;&gt;432)*($L$7:$L$606&lt;=$M432)*($M$7:$M$606&gt;=$L432))&gt;0,"⚠ Çakışma","OK")))</f>
        <v/>
      </c>
      <c r="P432" s="28" t="str">
        <f aca="false">IF($A432="","",IF(OR($K432="",$H432="",$L432=""),"",IF(SUMPRODUCT(($A$7:$A$606&lt;&gt;"")*($K$7:$K$606=$K432)*($H$7:$H$606=$H432)*(ROW($A$7:$A$606)&lt;&gt;432)*($L$7:$L$606&lt;=$M432)*($M$7:$M$606&gt;=$L432))&gt;0,"⚠ Çakışma","OK")))</f>
        <v/>
      </c>
      <c r="Q432" s="28" t="str">
        <f aca="false">IF($A432="","",IF(OR($E432="",$H432="",$L432=""),"",IF(SUMPRODUCT(($A$7:$A$606&lt;&gt;"")*($E$7:$E$606=$E432)*($H$7:$H$606=$H432)*(ROW($A$7:$A$606)&lt;&gt;432)*($L$7:$L$606&lt;=$M432)*($M$7:$M$606&gt;=$L432))&gt;0,"⚠ Çakışma","OK")))</f>
        <v/>
      </c>
      <c r="R432" s="28" t="str">
        <f aca="false">IF($A432="","",IF(OR($N432&lt;&gt;"",$O432="⚠ Çakışma",$P432="⚠ Çakışma",$Q432="⚠ Çakışma"),"⚠ Kontrol Et","✓ Uygun"))</f>
        <v/>
      </c>
    </row>
    <row r="433" customFormat="false" ht="13.5" hidden="false" customHeight="true" outlineLevel="0" collapsed="false">
      <c r="A433" s="28" t="str">
        <f aca="false">IF('3-Turizm İşletmeciliği'!A30="","","Turizm İşletmeciliği")</f>
        <v/>
      </c>
      <c r="B433" s="28" t="str">
        <f aca="false">IF($A433="","",IF('3-Turizm İşletmeciliği'!A30="","",'3-Turizm İşletmeciliği'!A30))</f>
        <v/>
      </c>
      <c r="C433" s="29" t="str">
        <f aca="false">IF($A433="","",IF('3-Turizm İşletmeciliği'!B30="","",'3-Turizm İşletmeciliği'!B30))</f>
        <v/>
      </c>
      <c r="D433" s="28" t="str">
        <f aca="false">IF($A433="","",IF('3-Turizm İşletmeciliği'!C30="","",'3-Turizm İşletmeciliği'!C30))</f>
        <v/>
      </c>
      <c r="E433" s="28" t="str">
        <f aca="false">IF($A433="","",$A433&amp;"-"&amp;$D433)</f>
        <v/>
      </c>
      <c r="F433" s="28" t="str">
        <f aca="false">IF($A433="","",IF('3-Turizm İşletmeciliği'!D30="","",'3-Turizm İşletmeciliği'!D30))</f>
        <v/>
      </c>
      <c r="G433" s="28" t="str">
        <f aca="false">IF($A433="","",IF('3-Turizm İşletmeciliği'!E30="","",'3-Turizm İşletmeciliği'!E30))</f>
        <v/>
      </c>
      <c r="H433" s="28" t="str">
        <f aca="false">IF($A433="","",IF('3-Turizm İşletmeciliği'!F30="","",'3-Turizm İşletmeciliği'!F30))</f>
        <v/>
      </c>
      <c r="I433" s="28" t="str">
        <f aca="false">IF($A433="","",IF('3-Turizm İşletmeciliği'!G30="","",'3-Turizm İşletmeciliği'!G30))</f>
        <v/>
      </c>
      <c r="J433" s="28" t="str">
        <f aca="false">IF($A433="","",IF('3-Turizm İşletmeciliği'!H30="","",'3-Turizm İşletmeciliği'!H30))</f>
        <v/>
      </c>
      <c r="K433" s="28" t="str">
        <f aca="false">IF($A433="","",IF('3-Turizm İşletmeciliği'!I30="","",'3-Turizm İşletmeciliği'!I30))</f>
        <v/>
      </c>
      <c r="L433" s="28" t="str">
        <f aca="false">IF($I433="","",MATCH($I433,{"08.00";"09.00";"10.00";"11.00";"12.00";"13.00";"14.00";"15.00";"16.00";"17.00"},0))</f>
        <v/>
      </c>
      <c r="M433" s="28" t="str">
        <f aca="false">IF(OR($L433="",$J433=""),"",$L433+$J433-1)</f>
        <v/>
      </c>
      <c r="N433" s="28" t="str">
        <f aca="false">IF($A433="","",IF(OR($L433="",$M433=""),"",IF($M433&gt;10,"⚠ Saat Taşıyor","")))</f>
        <v/>
      </c>
      <c r="O433" s="28" t="str">
        <f aca="false">IF($A433="","",IF(OR($G433="",$H433="",$L433=""),"",IF(SUMPRODUCT(($A$7:$A$606&lt;&gt;"")*($G$7:$G$606=$G433)*($H$7:$H$606=$H433)*(ROW($A$7:$A$606)&lt;&gt;433)*($L$7:$L$606&lt;=$M433)*($M$7:$M$606&gt;=$L433))&gt;0,"⚠ Çakışma","OK")))</f>
        <v/>
      </c>
      <c r="P433" s="28" t="str">
        <f aca="false">IF($A433="","",IF(OR($K433="",$H433="",$L433=""),"",IF(SUMPRODUCT(($A$7:$A$606&lt;&gt;"")*($K$7:$K$606=$K433)*($H$7:$H$606=$H433)*(ROW($A$7:$A$606)&lt;&gt;433)*($L$7:$L$606&lt;=$M433)*($M$7:$M$606&gt;=$L433))&gt;0,"⚠ Çakışma","OK")))</f>
        <v/>
      </c>
      <c r="Q433" s="28" t="str">
        <f aca="false">IF($A433="","",IF(OR($E433="",$H433="",$L433=""),"",IF(SUMPRODUCT(($A$7:$A$606&lt;&gt;"")*($E$7:$E$606=$E433)*($H$7:$H$606=$H433)*(ROW($A$7:$A$606)&lt;&gt;433)*($L$7:$L$606&lt;=$M433)*($M$7:$M$606&gt;=$L433))&gt;0,"⚠ Çakışma","OK")))</f>
        <v/>
      </c>
      <c r="R433" s="28" t="str">
        <f aca="false">IF($A433="","",IF(OR($N433&lt;&gt;"",$O433="⚠ Çakışma",$P433="⚠ Çakışma",$Q433="⚠ Çakışma"),"⚠ Kontrol Et","✓ Uygun"))</f>
        <v/>
      </c>
    </row>
    <row r="434" customFormat="false" ht="13.5" hidden="false" customHeight="true" outlineLevel="0" collapsed="false">
      <c r="A434" s="28" t="str">
        <f aca="false">IF('3-Turizm İşletmeciliği'!A31="","","Turizm İşletmeciliği")</f>
        <v/>
      </c>
      <c r="B434" s="28" t="str">
        <f aca="false">IF($A434="","",IF('3-Turizm İşletmeciliği'!A31="","",'3-Turizm İşletmeciliği'!A31))</f>
        <v/>
      </c>
      <c r="C434" s="29" t="str">
        <f aca="false">IF($A434="","",IF('3-Turizm İşletmeciliği'!B31="","",'3-Turizm İşletmeciliği'!B31))</f>
        <v/>
      </c>
      <c r="D434" s="28" t="str">
        <f aca="false">IF($A434="","",IF('3-Turizm İşletmeciliği'!C31="","",'3-Turizm İşletmeciliği'!C31))</f>
        <v/>
      </c>
      <c r="E434" s="28" t="str">
        <f aca="false">IF($A434="","",$A434&amp;"-"&amp;$D434)</f>
        <v/>
      </c>
      <c r="F434" s="28" t="str">
        <f aca="false">IF($A434="","",IF('3-Turizm İşletmeciliği'!D31="","",'3-Turizm İşletmeciliği'!D31))</f>
        <v/>
      </c>
      <c r="G434" s="28" t="str">
        <f aca="false">IF($A434="","",IF('3-Turizm İşletmeciliği'!E31="","",'3-Turizm İşletmeciliği'!E31))</f>
        <v/>
      </c>
      <c r="H434" s="28" t="str">
        <f aca="false">IF($A434="","",IF('3-Turizm İşletmeciliği'!F31="","",'3-Turizm İşletmeciliği'!F31))</f>
        <v/>
      </c>
      <c r="I434" s="28" t="str">
        <f aca="false">IF($A434="","",IF('3-Turizm İşletmeciliği'!G31="","",'3-Turizm İşletmeciliği'!G31))</f>
        <v/>
      </c>
      <c r="J434" s="28" t="str">
        <f aca="false">IF($A434="","",IF('3-Turizm İşletmeciliği'!H31="","",'3-Turizm İşletmeciliği'!H31))</f>
        <v/>
      </c>
      <c r="K434" s="28" t="str">
        <f aca="false">IF($A434="","",IF('3-Turizm İşletmeciliği'!I31="","",'3-Turizm İşletmeciliği'!I31))</f>
        <v/>
      </c>
      <c r="L434" s="28" t="str">
        <f aca="false">IF($I434="","",MATCH($I434,{"08.00";"09.00";"10.00";"11.00";"12.00";"13.00";"14.00";"15.00";"16.00";"17.00"},0))</f>
        <v/>
      </c>
      <c r="M434" s="28" t="str">
        <f aca="false">IF(OR($L434="",$J434=""),"",$L434+$J434-1)</f>
        <v/>
      </c>
      <c r="N434" s="28" t="str">
        <f aca="false">IF($A434="","",IF(OR($L434="",$M434=""),"",IF($M434&gt;10,"⚠ Saat Taşıyor","")))</f>
        <v/>
      </c>
      <c r="O434" s="28" t="str">
        <f aca="false">IF($A434="","",IF(OR($G434="",$H434="",$L434=""),"",IF(SUMPRODUCT(($A$7:$A$606&lt;&gt;"")*($G$7:$G$606=$G434)*($H$7:$H$606=$H434)*(ROW($A$7:$A$606)&lt;&gt;434)*($L$7:$L$606&lt;=$M434)*($M$7:$M$606&gt;=$L434))&gt;0,"⚠ Çakışma","OK")))</f>
        <v/>
      </c>
      <c r="P434" s="28" t="str">
        <f aca="false">IF($A434="","",IF(OR($K434="",$H434="",$L434=""),"",IF(SUMPRODUCT(($A$7:$A$606&lt;&gt;"")*($K$7:$K$606=$K434)*($H$7:$H$606=$H434)*(ROW($A$7:$A$606)&lt;&gt;434)*($L$7:$L$606&lt;=$M434)*($M$7:$M$606&gt;=$L434))&gt;0,"⚠ Çakışma","OK")))</f>
        <v/>
      </c>
      <c r="Q434" s="28" t="str">
        <f aca="false">IF($A434="","",IF(OR($E434="",$H434="",$L434=""),"",IF(SUMPRODUCT(($A$7:$A$606&lt;&gt;"")*($E$7:$E$606=$E434)*($H$7:$H$606=$H434)*(ROW($A$7:$A$606)&lt;&gt;434)*($L$7:$L$606&lt;=$M434)*($M$7:$M$606&gt;=$L434))&gt;0,"⚠ Çakışma","OK")))</f>
        <v/>
      </c>
      <c r="R434" s="28" t="str">
        <f aca="false">IF($A434="","",IF(OR($N434&lt;&gt;"",$O434="⚠ Çakışma",$P434="⚠ Çakışma",$Q434="⚠ Çakışma"),"⚠ Kontrol Et","✓ Uygun"))</f>
        <v/>
      </c>
    </row>
    <row r="435" customFormat="false" ht="13.5" hidden="false" customHeight="true" outlineLevel="0" collapsed="false">
      <c r="A435" s="28" t="str">
        <f aca="false">IF('3-Turizm İşletmeciliği'!A32="","","Turizm İşletmeciliği")</f>
        <v/>
      </c>
      <c r="B435" s="28" t="str">
        <f aca="false">IF($A435="","",IF('3-Turizm İşletmeciliği'!A32="","",'3-Turizm İşletmeciliği'!A32))</f>
        <v/>
      </c>
      <c r="C435" s="29" t="str">
        <f aca="false">IF($A435="","",IF('3-Turizm İşletmeciliği'!B32="","",'3-Turizm İşletmeciliği'!B32))</f>
        <v/>
      </c>
      <c r="D435" s="28" t="str">
        <f aca="false">IF($A435="","",IF('3-Turizm İşletmeciliği'!C32="","",'3-Turizm İşletmeciliği'!C32))</f>
        <v/>
      </c>
      <c r="E435" s="28" t="str">
        <f aca="false">IF($A435="","",$A435&amp;"-"&amp;$D435)</f>
        <v/>
      </c>
      <c r="F435" s="28" t="str">
        <f aca="false">IF($A435="","",IF('3-Turizm İşletmeciliği'!D32="","",'3-Turizm İşletmeciliği'!D32))</f>
        <v/>
      </c>
      <c r="G435" s="28" t="str">
        <f aca="false">IF($A435="","",IF('3-Turizm İşletmeciliği'!E32="","",'3-Turizm İşletmeciliği'!E32))</f>
        <v/>
      </c>
      <c r="H435" s="28" t="str">
        <f aca="false">IF($A435="","",IF('3-Turizm İşletmeciliği'!F32="","",'3-Turizm İşletmeciliği'!F32))</f>
        <v/>
      </c>
      <c r="I435" s="28" t="str">
        <f aca="false">IF($A435="","",IF('3-Turizm İşletmeciliği'!G32="","",'3-Turizm İşletmeciliği'!G32))</f>
        <v/>
      </c>
      <c r="J435" s="28" t="str">
        <f aca="false">IF($A435="","",IF('3-Turizm İşletmeciliği'!H32="","",'3-Turizm İşletmeciliği'!H32))</f>
        <v/>
      </c>
      <c r="K435" s="28" t="str">
        <f aca="false">IF($A435="","",IF('3-Turizm İşletmeciliği'!I32="","",'3-Turizm İşletmeciliği'!I32))</f>
        <v/>
      </c>
      <c r="L435" s="28" t="str">
        <f aca="false">IF($I435="","",MATCH($I435,{"08.00";"09.00";"10.00";"11.00";"12.00";"13.00";"14.00";"15.00";"16.00";"17.00"},0))</f>
        <v/>
      </c>
      <c r="M435" s="28" t="str">
        <f aca="false">IF(OR($L435="",$J435=""),"",$L435+$J435-1)</f>
        <v/>
      </c>
      <c r="N435" s="28" t="str">
        <f aca="false">IF($A435="","",IF(OR($L435="",$M435=""),"",IF($M435&gt;10,"⚠ Saat Taşıyor","")))</f>
        <v/>
      </c>
      <c r="O435" s="28" t="str">
        <f aca="false">IF($A435="","",IF(OR($G435="",$H435="",$L435=""),"",IF(SUMPRODUCT(($A$7:$A$606&lt;&gt;"")*($G$7:$G$606=$G435)*($H$7:$H$606=$H435)*(ROW($A$7:$A$606)&lt;&gt;435)*($L$7:$L$606&lt;=$M435)*($M$7:$M$606&gt;=$L435))&gt;0,"⚠ Çakışma","OK")))</f>
        <v/>
      </c>
      <c r="P435" s="28" t="str">
        <f aca="false">IF($A435="","",IF(OR($K435="",$H435="",$L435=""),"",IF(SUMPRODUCT(($A$7:$A$606&lt;&gt;"")*($K$7:$K$606=$K435)*($H$7:$H$606=$H435)*(ROW($A$7:$A$606)&lt;&gt;435)*($L$7:$L$606&lt;=$M435)*($M$7:$M$606&gt;=$L435))&gt;0,"⚠ Çakışma","OK")))</f>
        <v/>
      </c>
      <c r="Q435" s="28" t="str">
        <f aca="false">IF($A435="","",IF(OR($E435="",$H435="",$L435=""),"",IF(SUMPRODUCT(($A$7:$A$606&lt;&gt;"")*($E$7:$E$606=$E435)*($H$7:$H$606=$H435)*(ROW($A$7:$A$606)&lt;&gt;435)*($L$7:$L$606&lt;=$M435)*($M$7:$M$606&gt;=$L435))&gt;0,"⚠ Çakışma","OK")))</f>
        <v/>
      </c>
      <c r="R435" s="28" t="str">
        <f aca="false">IF($A435="","",IF(OR($N435&lt;&gt;"",$O435="⚠ Çakışma",$P435="⚠ Çakışma",$Q435="⚠ Çakışma"),"⚠ Kontrol Et","✓ Uygun"))</f>
        <v/>
      </c>
    </row>
    <row r="436" customFormat="false" ht="13.5" hidden="false" customHeight="true" outlineLevel="0" collapsed="false">
      <c r="A436" s="28" t="str">
        <f aca="false">IF('3-Turizm İşletmeciliği'!A33="","","Turizm İşletmeciliği")</f>
        <v/>
      </c>
      <c r="B436" s="28" t="str">
        <f aca="false">IF($A436="","",IF('3-Turizm İşletmeciliği'!A33="","",'3-Turizm İşletmeciliği'!A33))</f>
        <v/>
      </c>
      <c r="C436" s="29" t="str">
        <f aca="false">IF($A436="","",IF('3-Turizm İşletmeciliği'!B33="","",'3-Turizm İşletmeciliği'!B33))</f>
        <v/>
      </c>
      <c r="D436" s="28" t="str">
        <f aca="false">IF($A436="","",IF('3-Turizm İşletmeciliği'!C33="","",'3-Turizm İşletmeciliği'!C33))</f>
        <v/>
      </c>
      <c r="E436" s="28" t="str">
        <f aca="false">IF($A436="","",$A436&amp;"-"&amp;$D436)</f>
        <v/>
      </c>
      <c r="F436" s="28" t="str">
        <f aca="false">IF($A436="","",IF('3-Turizm İşletmeciliği'!D33="","",'3-Turizm İşletmeciliği'!D33))</f>
        <v/>
      </c>
      <c r="G436" s="28" t="str">
        <f aca="false">IF($A436="","",IF('3-Turizm İşletmeciliği'!E33="","",'3-Turizm İşletmeciliği'!E33))</f>
        <v/>
      </c>
      <c r="H436" s="28" t="str">
        <f aca="false">IF($A436="","",IF('3-Turizm İşletmeciliği'!F33="","",'3-Turizm İşletmeciliği'!F33))</f>
        <v/>
      </c>
      <c r="I436" s="28" t="str">
        <f aca="false">IF($A436="","",IF('3-Turizm İşletmeciliği'!G33="","",'3-Turizm İşletmeciliği'!G33))</f>
        <v/>
      </c>
      <c r="J436" s="28" t="str">
        <f aca="false">IF($A436="","",IF('3-Turizm İşletmeciliği'!H33="","",'3-Turizm İşletmeciliği'!H33))</f>
        <v/>
      </c>
      <c r="K436" s="28" t="str">
        <f aca="false">IF($A436="","",IF('3-Turizm İşletmeciliği'!I33="","",'3-Turizm İşletmeciliği'!I33))</f>
        <v/>
      </c>
      <c r="L436" s="28" t="str">
        <f aca="false">IF($I436="","",MATCH($I436,{"08.00";"09.00";"10.00";"11.00";"12.00";"13.00";"14.00";"15.00";"16.00";"17.00"},0))</f>
        <v/>
      </c>
      <c r="M436" s="28" t="str">
        <f aca="false">IF(OR($L436="",$J436=""),"",$L436+$J436-1)</f>
        <v/>
      </c>
      <c r="N436" s="28" t="str">
        <f aca="false">IF($A436="","",IF(OR($L436="",$M436=""),"",IF($M436&gt;10,"⚠ Saat Taşıyor","")))</f>
        <v/>
      </c>
      <c r="O436" s="28" t="str">
        <f aca="false">IF($A436="","",IF(OR($G436="",$H436="",$L436=""),"",IF(SUMPRODUCT(($A$7:$A$606&lt;&gt;"")*($G$7:$G$606=$G436)*($H$7:$H$606=$H436)*(ROW($A$7:$A$606)&lt;&gt;436)*($L$7:$L$606&lt;=$M436)*($M$7:$M$606&gt;=$L436))&gt;0,"⚠ Çakışma","OK")))</f>
        <v/>
      </c>
      <c r="P436" s="28" t="str">
        <f aca="false">IF($A436="","",IF(OR($K436="",$H436="",$L436=""),"",IF(SUMPRODUCT(($A$7:$A$606&lt;&gt;"")*($K$7:$K$606=$K436)*($H$7:$H$606=$H436)*(ROW($A$7:$A$606)&lt;&gt;436)*($L$7:$L$606&lt;=$M436)*($M$7:$M$606&gt;=$L436))&gt;0,"⚠ Çakışma","OK")))</f>
        <v/>
      </c>
      <c r="Q436" s="28" t="str">
        <f aca="false">IF($A436="","",IF(OR($E436="",$H436="",$L436=""),"",IF(SUMPRODUCT(($A$7:$A$606&lt;&gt;"")*($E$7:$E$606=$E436)*($H$7:$H$606=$H436)*(ROW($A$7:$A$606)&lt;&gt;436)*($L$7:$L$606&lt;=$M436)*($M$7:$M$606&gt;=$L436))&gt;0,"⚠ Çakışma","OK")))</f>
        <v/>
      </c>
      <c r="R436" s="28" t="str">
        <f aca="false">IF($A436="","",IF(OR($N436&lt;&gt;"",$O436="⚠ Çakışma",$P436="⚠ Çakışma",$Q436="⚠ Çakışma"),"⚠ Kontrol Et","✓ Uygun"))</f>
        <v/>
      </c>
    </row>
    <row r="437" customFormat="false" ht="13.5" hidden="false" customHeight="true" outlineLevel="0" collapsed="false">
      <c r="A437" s="28" t="str">
        <f aca="false">IF('3-Turizm İşletmeciliği'!A34="","","Turizm İşletmeciliği")</f>
        <v/>
      </c>
      <c r="B437" s="28" t="str">
        <f aca="false">IF($A437="","",IF('3-Turizm İşletmeciliği'!A34="","",'3-Turizm İşletmeciliği'!A34))</f>
        <v/>
      </c>
      <c r="C437" s="29" t="str">
        <f aca="false">IF($A437="","",IF('3-Turizm İşletmeciliği'!B34="","",'3-Turizm İşletmeciliği'!B34))</f>
        <v/>
      </c>
      <c r="D437" s="28" t="str">
        <f aca="false">IF($A437="","",IF('3-Turizm İşletmeciliği'!C34="","",'3-Turizm İşletmeciliği'!C34))</f>
        <v/>
      </c>
      <c r="E437" s="28" t="str">
        <f aca="false">IF($A437="","",$A437&amp;"-"&amp;$D437)</f>
        <v/>
      </c>
      <c r="F437" s="28" t="str">
        <f aca="false">IF($A437="","",IF('3-Turizm İşletmeciliği'!D34="","",'3-Turizm İşletmeciliği'!D34))</f>
        <v/>
      </c>
      <c r="G437" s="28" t="str">
        <f aca="false">IF($A437="","",IF('3-Turizm İşletmeciliği'!E34="","",'3-Turizm İşletmeciliği'!E34))</f>
        <v/>
      </c>
      <c r="H437" s="28" t="str">
        <f aca="false">IF($A437="","",IF('3-Turizm İşletmeciliği'!F34="","",'3-Turizm İşletmeciliği'!F34))</f>
        <v/>
      </c>
      <c r="I437" s="28" t="str">
        <f aca="false">IF($A437="","",IF('3-Turizm İşletmeciliği'!G34="","",'3-Turizm İşletmeciliği'!G34))</f>
        <v/>
      </c>
      <c r="J437" s="28" t="str">
        <f aca="false">IF($A437="","",IF('3-Turizm İşletmeciliği'!H34="","",'3-Turizm İşletmeciliği'!H34))</f>
        <v/>
      </c>
      <c r="K437" s="28" t="str">
        <f aca="false">IF($A437="","",IF('3-Turizm İşletmeciliği'!I34="","",'3-Turizm İşletmeciliği'!I34))</f>
        <v/>
      </c>
      <c r="L437" s="28" t="str">
        <f aca="false">IF($I437="","",MATCH($I437,{"08.00";"09.00";"10.00";"11.00";"12.00";"13.00";"14.00";"15.00";"16.00";"17.00"},0))</f>
        <v/>
      </c>
      <c r="M437" s="28" t="str">
        <f aca="false">IF(OR($L437="",$J437=""),"",$L437+$J437-1)</f>
        <v/>
      </c>
      <c r="N437" s="28" t="str">
        <f aca="false">IF($A437="","",IF(OR($L437="",$M437=""),"",IF($M437&gt;10,"⚠ Saat Taşıyor","")))</f>
        <v/>
      </c>
      <c r="O437" s="28" t="str">
        <f aca="false">IF($A437="","",IF(OR($G437="",$H437="",$L437=""),"",IF(SUMPRODUCT(($A$7:$A$606&lt;&gt;"")*($G$7:$G$606=$G437)*($H$7:$H$606=$H437)*(ROW($A$7:$A$606)&lt;&gt;437)*($L$7:$L$606&lt;=$M437)*($M$7:$M$606&gt;=$L437))&gt;0,"⚠ Çakışma","OK")))</f>
        <v/>
      </c>
      <c r="P437" s="28" t="str">
        <f aca="false">IF($A437="","",IF(OR($K437="",$H437="",$L437=""),"",IF(SUMPRODUCT(($A$7:$A$606&lt;&gt;"")*($K$7:$K$606=$K437)*($H$7:$H$606=$H437)*(ROW($A$7:$A$606)&lt;&gt;437)*($L$7:$L$606&lt;=$M437)*($M$7:$M$606&gt;=$L437))&gt;0,"⚠ Çakışma","OK")))</f>
        <v/>
      </c>
      <c r="Q437" s="28" t="str">
        <f aca="false">IF($A437="","",IF(OR($E437="",$H437="",$L437=""),"",IF(SUMPRODUCT(($A$7:$A$606&lt;&gt;"")*($E$7:$E$606=$E437)*($H$7:$H$606=$H437)*(ROW($A$7:$A$606)&lt;&gt;437)*($L$7:$L$606&lt;=$M437)*($M$7:$M$606&gt;=$L437))&gt;0,"⚠ Çakışma","OK")))</f>
        <v/>
      </c>
      <c r="R437" s="28" t="str">
        <f aca="false">IF($A437="","",IF(OR($N437&lt;&gt;"",$O437="⚠ Çakışma",$P437="⚠ Çakışma",$Q437="⚠ Çakışma"),"⚠ Kontrol Et","✓ Uygun"))</f>
        <v/>
      </c>
    </row>
    <row r="438" customFormat="false" ht="13.5" hidden="false" customHeight="true" outlineLevel="0" collapsed="false">
      <c r="A438" s="28" t="str">
        <f aca="false">IF('3-Turizm İşletmeciliği'!A35="","","Turizm İşletmeciliği")</f>
        <v/>
      </c>
      <c r="B438" s="28" t="str">
        <f aca="false">IF($A438="","",IF('3-Turizm İşletmeciliği'!A35="","",'3-Turizm İşletmeciliği'!A35))</f>
        <v/>
      </c>
      <c r="C438" s="29" t="str">
        <f aca="false">IF($A438="","",IF('3-Turizm İşletmeciliği'!B35="","",'3-Turizm İşletmeciliği'!B35))</f>
        <v/>
      </c>
      <c r="D438" s="28" t="str">
        <f aca="false">IF($A438="","",IF('3-Turizm İşletmeciliği'!C35="","",'3-Turizm İşletmeciliği'!C35))</f>
        <v/>
      </c>
      <c r="E438" s="28" t="str">
        <f aca="false">IF($A438="","",$A438&amp;"-"&amp;$D438)</f>
        <v/>
      </c>
      <c r="F438" s="28" t="str">
        <f aca="false">IF($A438="","",IF('3-Turizm İşletmeciliği'!D35="","",'3-Turizm İşletmeciliği'!D35))</f>
        <v/>
      </c>
      <c r="G438" s="28" t="str">
        <f aca="false">IF($A438="","",IF('3-Turizm İşletmeciliği'!E35="","",'3-Turizm İşletmeciliği'!E35))</f>
        <v/>
      </c>
      <c r="H438" s="28" t="str">
        <f aca="false">IF($A438="","",IF('3-Turizm İşletmeciliği'!F35="","",'3-Turizm İşletmeciliği'!F35))</f>
        <v/>
      </c>
      <c r="I438" s="28" t="str">
        <f aca="false">IF($A438="","",IF('3-Turizm İşletmeciliği'!G35="","",'3-Turizm İşletmeciliği'!G35))</f>
        <v/>
      </c>
      <c r="J438" s="28" t="str">
        <f aca="false">IF($A438="","",IF('3-Turizm İşletmeciliği'!H35="","",'3-Turizm İşletmeciliği'!H35))</f>
        <v/>
      </c>
      <c r="K438" s="28" t="str">
        <f aca="false">IF($A438="","",IF('3-Turizm İşletmeciliği'!I35="","",'3-Turizm İşletmeciliği'!I35))</f>
        <v/>
      </c>
      <c r="L438" s="28" t="str">
        <f aca="false">IF($I438="","",MATCH($I438,{"08.00";"09.00";"10.00";"11.00";"12.00";"13.00";"14.00";"15.00";"16.00";"17.00"},0))</f>
        <v/>
      </c>
      <c r="M438" s="28" t="str">
        <f aca="false">IF(OR($L438="",$J438=""),"",$L438+$J438-1)</f>
        <v/>
      </c>
      <c r="N438" s="28" t="str">
        <f aca="false">IF($A438="","",IF(OR($L438="",$M438=""),"",IF($M438&gt;10,"⚠ Saat Taşıyor","")))</f>
        <v/>
      </c>
      <c r="O438" s="28" t="str">
        <f aca="false">IF($A438="","",IF(OR($G438="",$H438="",$L438=""),"",IF(SUMPRODUCT(($A$7:$A$606&lt;&gt;"")*($G$7:$G$606=$G438)*($H$7:$H$606=$H438)*(ROW($A$7:$A$606)&lt;&gt;438)*($L$7:$L$606&lt;=$M438)*($M$7:$M$606&gt;=$L438))&gt;0,"⚠ Çakışma","OK")))</f>
        <v/>
      </c>
      <c r="P438" s="28" t="str">
        <f aca="false">IF($A438="","",IF(OR($K438="",$H438="",$L438=""),"",IF(SUMPRODUCT(($A$7:$A$606&lt;&gt;"")*($K$7:$K$606=$K438)*($H$7:$H$606=$H438)*(ROW($A$7:$A$606)&lt;&gt;438)*($L$7:$L$606&lt;=$M438)*($M$7:$M$606&gt;=$L438))&gt;0,"⚠ Çakışma","OK")))</f>
        <v/>
      </c>
      <c r="Q438" s="28" t="str">
        <f aca="false">IF($A438="","",IF(OR($E438="",$H438="",$L438=""),"",IF(SUMPRODUCT(($A$7:$A$606&lt;&gt;"")*($E$7:$E$606=$E438)*($H$7:$H$606=$H438)*(ROW($A$7:$A$606)&lt;&gt;438)*($L$7:$L$606&lt;=$M438)*($M$7:$M$606&gt;=$L438))&gt;0,"⚠ Çakışma","OK")))</f>
        <v/>
      </c>
      <c r="R438" s="28" t="str">
        <f aca="false">IF($A438="","",IF(OR($N438&lt;&gt;"",$O438="⚠ Çakışma",$P438="⚠ Çakışma",$Q438="⚠ Çakışma"),"⚠ Kontrol Et","✓ Uygun"))</f>
        <v/>
      </c>
    </row>
    <row r="439" customFormat="false" ht="13.5" hidden="false" customHeight="true" outlineLevel="0" collapsed="false">
      <c r="A439" s="28" t="str">
        <f aca="false">IF('3-Turizm İşletmeciliği'!A36="","","Turizm İşletmeciliği")</f>
        <v/>
      </c>
      <c r="B439" s="28" t="str">
        <f aca="false">IF($A439="","",IF('3-Turizm İşletmeciliği'!A36="","",'3-Turizm İşletmeciliği'!A36))</f>
        <v/>
      </c>
      <c r="C439" s="29" t="str">
        <f aca="false">IF($A439="","",IF('3-Turizm İşletmeciliği'!B36="","",'3-Turizm İşletmeciliği'!B36))</f>
        <v/>
      </c>
      <c r="D439" s="28" t="str">
        <f aca="false">IF($A439="","",IF('3-Turizm İşletmeciliği'!C36="","",'3-Turizm İşletmeciliği'!C36))</f>
        <v/>
      </c>
      <c r="E439" s="28" t="str">
        <f aca="false">IF($A439="","",$A439&amp;"-"&amp;$D439)</f>
        <v/>
      </c>
      <c r="F439" s="28" t="str">
        <f aca="false">IF($A439="","",IF('3-Turizm İşletmeciliği'!D36="","",'3-Turizm İşletmeciliği'!D36))</f>
        <v/>
      </c>
      <c r="G439" s="28" t="str">
        <f aca="false">IF($A439="","",IF('3-Turizm İşletmeciliği'!E36="","",'3-Turizm İşletmeciliği'!E36))</f>
        <v/>
      </c>
      <c r="H439" s="28" t="str">
        <f aca="false">IF($A439="","",IF('3-Turizm İşletmeciliği'!F36="","",'3-Turizm İşletmeciliği'!F36))</f>
        <v/>
      </c>
      <c r="I439" s="28" t="str">
        <f aca="false">IF($A439="","",IF('3-Turizm İşletmeciliği'!G36="","",'3-Turizm İşletmeciliği'!G36))</f>
        <v/>
      </c>
      <c r="J439" s="28" t="str">
        <f aca="false">IF($A439="","",IF('3-Turizm İşletmeciliği'!H36="","",'3-Turizm İşletmeciliği'!H36))</f>
        <v/>
      </c>
      <c r="K439" s="28" t="str">
        <f aca="false">IF($A439="","",IF('3-Turizm İşletmeciliği'!I36="","",'3-Turizm İşletmeciliği'!I36))</f>
        <v/>
      </c>
      <c r="L439" s="28" t="str">
        <f aca="false">IF($I439="","",MATCH($I439,{"08.00";"09.00";"10.00";"11.00";"12.00";"13.00";"14.00";"15.00";"16.00";"17.00"},0))</f>
        <v/>
      </c>
      <c r="M439" s="28" t="str">
        <f aca="false">IF(OR($L439="",$J439=""),"",$L439+$J439-1)</f>
        <v/>
      </c>
      <c r="N439" s="28" t="str">
        <f aca="false">IF($A439="","",IF(OR($L439="",$M439=""),"",IF($M439&gt;10,"⚠ Saat Taşıyor","")))</f>
        <v/>
      </c>
      <c r="O439" s="28" t="str">
        <f aca="false">IF($A439="","",IF(OR($G439="",$H439="",$L439=""),"",IF(SUMPRODUCT(($A$7:$A$606&lt;&gt;"")*($G$7:$G$606=$G439)*($H$7:$H$606=$H439)*(ROW($A$7:$A$606)&lt;&gt;439)*($L$7:$L$606&lt;=$M439)*($M$7:$M$606&gt;=$L439))&gt;0,"⚠ Çakışma","OK")))</f>
        <v/>
      </c>
      <c r="P439" s="28" t="str">
        <f aca="false">IF($A439="","",IF(OR($K439="",$H439="",$L439=""),"",IF(SUMPRODUCT(($A$7:$A$606&lt;&gt;"")*($K$7:$K$606=$K439)*($H$7:$H$606=$H439)*(ROW($A$7:$A$606)&lt;&gt;439)*($L$7:$L$606&lt;=$M439)*($M$7:$M$606&gt;=$L439))&gt;0,"⚠ Çakışma","OK")))</f>
        <v/>
      </c>
      <c r="Q439" s="28" t="str">
        <f aca="false">IF($A439="","",IF(OR($E439="",$H439="",$L439=""),"",IF(SUMPRODUCT(($A$7:$A$606&lt;&gt;"")*($E$7:$E$606=$E439)*($H$7:$H$606=$H439)*(ROW($A$7:$A$606)&lt;&gt;439)*($L$7:$L$606&lt;=$M439)*($M$7:$M$606&gt;=$L439))&gt;0,"⚠ Çakışma","OK")))</f>
        <v/>
      </c>
      <c r="R439" s="28" t="str">
        <f aca="false">IF($A439="","",IF(OR($N439&lt;&gt;"",$O439="⚠ Çakışma",$P439="⚠ Çakışma",$Q439="⚠ Çakışma"),"⚠ Kontrol Et","✓ Uygun"))</f>
        <v/>
      </c>
    </row>
    <row r="440" customFormat="false" ht="13.5" hidden="false" customHeight="true" outlineLevel="0" collapsed="false">
      <c r="A440" s="28" t="str">
        <f aca="false">IF('3-Turizm İşletmeciliği'!A37="","","Turizm İşletmeciliği")</f>
        <v/>
      </c>
      <c r="B440" s="28" t="str">
        <f aca="false">IF($A440="","",IF('3-Turizm İşletmeciliği'!A37="","",'3-Turizm İşletmeciliği'!A37))</f>
        <v/>
      </c>
      <c r="C440" s="29" t="str">
        <f aca="false">IF($A440="","",IF('3-Turizm İşletmeciliği'!B37="","",'3-Turizm İşletmeciliği'!B37))</f>
        <v/>
      </c>
      <c r="D440" s="28" t="str">
        <f aca="false">IF($A440="","",IF('3-Turizm İşletmeciliği'!C37="","",'3-Turizm İşletmeciliği'!C37))</f>
        <v/>
      </c>
      <c r="E440" s="28" t="str">
        <f aca="false">IF($A440="","",$A440&amp;"-"&amp;$D440)</f>
        <v/>
      </c>
      <c r="F440" s="28" t="str">
        <f aca="false">IF($A440="","",IF('3-Turizm İşletmeciliği'!D37="","",'3-Turizm İşletmeciliği'!D37))</f>
        <v/>
      </c>
      <c r="G440" s="28" t="str">
        <f aca="false">IF($A440="","",IF('3-Turizm İşletmeciliği'!E37="","",'3-Turizm İşletmeciliği'!E37))</f>
        <v/>
      </c>
      <c r="H440" s="28" t="str">
        <f aca="false">IF($A440="","",IF('3-Turizm İşletmeciliği'!F37="","",'3-Turizm İşletmeciliği'!F37))</f>
        <v/>
      </c>
      <c r="I440" s="28" t="str">
        <f aca="false">IF($A440="","",IF('3-Turizm İşletmeciliği'!G37="","",'3-Turizm İşletmeciliği'!G37))</f>
        <v/>
      </c>
      <c r="J440" s="28" t="str">
        <f aca="false">IF($A440="","",IF('3-Turizm İşletmeciliği'!H37="","",'3-Turizm İşletmeciliği'!H37))</f>
        <v/>
      </c>
      <c r="K440" s="28" t="str">
        <f aca="false">IF($A440="","",IF('3-Turizm İşletmeciliği'!I37="","",'3-Turizm İşletmeciliği'!I37))</f>
        <v/>
      </c>
      <c r="L440" s="28" t="str">
        <f aca="false">IF($I440="","",MATCH($I440,{"08.00";"09.00";"10.00";"11.00";"12.00";"13.00";"14.00";"15.00";"16.00";"17.00"},0))</f>
        <v/>
      </c>
      <c r="M440" s="28" t="str">
        <f aca="false">IF(OR($L440="",$J440=""),"",$L440+$J440-1)</f>
        <v/>
      </c>
      <c r="N440" s="28" t="str">
        <f aca="false">IF($A440="","",IF(OR($L440="",$M440=""),"",IF($M440&gt;10,"⚠ Saat Taşıyor","")))</f>
        <v/>
      </c>
      <c r="O440" s="28" t="str">
        <f aca="false">IF($A440="","",IF(OR($G440="",$H440="",$L440=""),"",IF(SUMPRODUCT(($A$7:$A$606&lt;&gt;"")*($G$7:$G$606=$G440)*($H$7:$H$606=$H440)*(ROW($A$7:$A$606)&lt;&gt;440)*($L$7:$L$606&lt;=$M440)*($M$7:$M$606&gt;=$L440))&gt;0,"⚠ Çakışma","OK")))</f>
        <v/>
      </c>
      <c r="P440" s="28" t="str">
        <f aca="false">IF($A440="","",IF(OR($K440="",$H440="",$L440=""),"",IF(SUMPRODUCT(($A$7:$A$606&lt;&gt;"")*($K$7:$K$606=$K440)*($H$7:$H$606=$H440)*(ROW($A$7:$A$606)&lt;&gt;440)*($L$7:$L$606&lt;=$M440)*($M$7:$M$606&gt;=$L440))&gt;0,"⚠ Çakışma","OK")))</f>
        <v/>
      </c>
      <c r="Q440" s="28" t="str">
        <f aca="false">IF($A440="","",IF(OR($E440="",$H440="",$L440=""),"",IF(SUMPRODUCT(($A$7:$A$606&lt;&gt;"")*($E$7:$E$606=$E440)*($H$7:$H$606=$H440)*(ROW($A$7:$A$606)&lt;&gt;440)*($L$7:$L$606&lt;=$M440)*($M$7:$M$606&gt;=$L440))&gt;0,"⚠ Çakışma","OK")))</f>
        <v/>
      </c>
      <c r="R440" s="28" t="str">
        <f aca="false">IF($A440="","",IF(OR($N440&lt;&gt;"",$O440="⚠ Çakışma",$P440="⚠ Çakışma",$Q440="⚠ Çakışma"),"⚠ Kontrol Et","✓ Uygun"))</f>
        <v/>
      </c>
    </row>
    <row r="441" customFormat="false" ht="13.5" hidden="false" customHeight="true" outlineLevel="0" collapsed="false">
      <c r="A441" s="28" t="str">
        <f aca="false">IF('3-Turizm İşletmeciliği'!A38="","","Turizm İşletmeciliği")</f>
        <v/>
      </c>
      <c r="B441" s="28" t="str">
        <f aca="false">IF($A441="","",IF('3-Turizm İşletmeciliği'!A38="","",'3-Turizm İşletmeciliği'!A38))</f>
        <v/>
      </c>
      <c r="C441" s="29" t="str">
        <f aca="false">IF($A441="","",IF('3-Turizm İşletmeciliği'!B38="","",'3-Turizm İşletmeciliği'!B38))</f>
        <v/>
      </c>
      <c r="D441" s="28" t="str">
        <f aca="false">IF($A441="","",IF('3-Turizm İşletmeciliği'!C38="","",'3-Turizm İşletmeciliği'!C38))</f>
        <v/>
      </c>
      <c r="E441" s="28" t="str">
        <f aca="false">IF($A441="","",$A441&amp;"-"&amp;$D441)</f>
        <v/>
      </c>
      <c r="F441" s="28" t="str">
        <f aca="false">IF($A441="","",IF('3-Turizm İşletmeciliği'!D38="","",'3-Turizm İşletmeciliği'!D38))</f>
        <v/>
      </c>
      <c r="G441" s="28" t="str">
        <f aca="false">IF($A441="","",IF('3-Turizm İşletmeciliği'!E38="","",'3-Turizm İşletmeciliği'!E38))</f>
        <v/>
      </c>
      <c r="H441" s="28" t="str">
        <f aca="false">IF($A441="","",IF('3-Turizm İşletmeciliği'!F38="","",'3-Turizm İşletmeciliği'!F38))</f>
        <v/>
      </c>
      <c r="I441" s="28" t="str">
        <f aca="false">IF($A441="","",IF('3-Turizm İşletmeciliği'!G38="","",'3-Turizm İşletmeciliği'!G38))</f>
        <v/>
      </c>
      <c r="J441" s="28" t="str">
        <f aca="false">IF($A441="","",IF('3-Turizm İşletmeciliği'!H38="","",'3-Turizm İşletmeciliği'!H38))</f>
        <v/>
      </c>
      <c r="K441" s="28" t="str">
        <f aca="false">IF($A441="","",IF('3-Turizm İşletmeciliği'!I38="","",'3-Turizm İşletmeciliği'!I38))</f>
        <v/>
      </c>
      <c r="L441" s="28" t="str">
        <f aca="false">IF($I441="","",MATCH($I441,{"08.00";"09.00";"10.00";"11.00";"12.00";"13.00";"14.00";"15.00";"16.00";"17.00"},0))</f>
        <v/>
      </c>
      <c r="M441" s="28" t="str">
        <f aca="false">IF(OR($L441="",$J441=""),"",$L441+$J441-1)</f>
        <v/>
      </c>
      <c r="N441" s="28" t="str">
        <f aca="false">IF($A441="","",IF(OR($L441="",$M441=""),"",IF($M441&gt;10,"⚠ Saat Taşıyor","")))</f>
        <v/>
      </c>
      <c r="O441" s="28" t="str">
        <f aca="false">IF($A441="","",IF(OR($G441="",$H441="",$L441=""),"",IF(SUMPRODUCT(($A$7:$A$606&lt;&gt;"")*($G$7:$G$606=$G441)*($H$7:$H$606=$H441)*(ROW($A$7:$A$606)&lt;&gt;441)*($L$7:$L$606&lt;=$M441)*($M$7:$M$606&gt;=$L441))&gt;0,"⚠ Çakışma","OK")))</f>
        <v/>
      </c>
      <c r="P441" s="28" t="str">
        <f aca="false">IF($A441="","",IF(OR($K441="",$H441="",$L441=""),"",IF(SUMPRODUCT(($A$7:$A$606&lt;&gt;"")*($K$7:$K$606=$K441)*($H$7:$H$606=$H441)*(ROW($A$7:$A$606)&lt;&gt;441)*($L$7:$L$606&lt;=$M441)*($M$7:$M$606&gt;=$L441))&gt;0,"⚠ Çakışma","OK")))</f>
        <v/>
      </c>
      <c r="Q441" s="28" t="str">
        <f aca="false">IF($A441="","",IF(OR($E441="",$H441="",$L441=""),"",IF(SUMPRODUCT(($A$7:$A$606&lt;&gt;"")*($E$7:$E$606=$E441)*($H$7:$H$606=$H441)*(ROW($A$7:$A$606)&lt;&gt;441)*($L$7:$L$606&lt;=$M441)*($M$7:$M$606&gt;=$L441))&gt;0,"⚠ Çakışma","OK")))</f>
        <v/>
      </c>
      <c r="R441" s="28" t="str">
        <f aca="false">IF($A441="","",IF(OR($N441&lt;&gt;"",$O441="⚠ Çakışma",$P441="⚠ Çakışma",$Q441="⚠ Çakışma"),"⚠ Kontrol Et","✓ Uygun"))</f>
        <v/>
      </c>
    </row>
    <row r="442" customFormat="false" ht="13.5" hidden="false" customHeight="true" outlineLevel="0" collapsed="false">
      <c r="A442" s="28" t="str">
        <f aca="false">IF('3-Turizm İşletmeciliği'!A39="","","Turizm İşletmeciliği")</f>
        <v/>
      </c>
      <c r="B442" s="28" t="str">
        <f aca="false">IF($A442="","",IF('3-Turizm İşletmeciliği'!A39="","",'3-Turizm İşletmeciliği'!A39))</f>
        <v/>
      </c>
      <c r="C442" s="29" t="str">
        <f aca="false">IF($A442="","",IF('3-Turizm İşletmeciliği'!B39="","",'3-Turizm İşletmeciliği'!B39))</f>
        <v/>
      </c>
      <c r="D442" s="28" t="str">
        <f aca="false">IF($A442="","",IF('3-Turizm İşletmeciliği'!C39="","",'3-Turizm İşletmeciliği'!C39))</f>
        <v/>
      </c>
      <c r="E442" s="28" t="str">
        <f aca="false">IF($A442="","",$A442&amp;"-"&amp;$D442)</f>
        <v/>
      </c>
      <c r="F442" s="28" t="str">
        <f aca="false">IF($A442="","",IF('3-Turizm İşletmeciliği'!D39="","",'3-Turizm İşletmeciliği'!D39))</f>
        <v/>
      </c>
      <c r="G442" s="28" t="str">
        <f aca="false">IF($A442="","",IF('3-Turizm İşletmeciliği'!E39="","",'3-Turizm İşletmeciliği'!E39))</f>
        <v/>
      </c>
      <c r="H442" s="28" t="str">
        <f aca="false">IF($A442="","",IF('3-Turizm İşletmeciliği'!F39="","",'3-Turizm İşletmeciliği'!F39))</f>
        <v/>
      </c>
      <c r="I442" s="28" t="str">
        <f aca="false">IF($A442="","",IF('3-Turizm İşletmeciliği'!G39="","",'3-Turizm İşletmeciliği'!G39))</f>
        <v/>
      </c>
      <c r="J442" s="28" t="str">
        <f aca="false">IF($A442="","",IF('3-Turizm İşletmeciliği'!H39="","",'3-Turizm İşletmeciliği'!H39))</f>
        <v/>
      </c>
      <c r="K442" s="28" t="str">
        <f aca="false">IF($A442="","",IF('3-Turizm İşletmeciliği'!I39="","",'3-Turizm İşletmeciliği'!I39))</f>
        <v/>
      </c>
      <c r="L442" s="28" t="str">
        <f aca="false">IF($I442="","",MATCH($I442,{"08.00";"09.00";"10.00";"11.00";"12.00";"13.00";"14.00";"15.00";"16.00";"17.00"},0))</f>
        <v/>
      </c>
      <c r="M442" s="28" t="str">
        <f aca="false">IF(OR($L442="",$J442=""),"",$L442+$J442-1)</f>
        <v/>
      </c>
      <c r="N442" s="28" t="str">
        <f aca="false">IF($A442="","",IF(OR($L442="",$M442=""),"",IF($M442&gt;10,"⚠ Saat Taşıyor","")))</f>
        <v/>
      </c>
      <c r="O442" s="28" t="str">
        <f aca="false">IF($A442="","",IF(OR($G442="",$H442="",$L442=""),"",IF(SUMPRODUCT(($A$7:$A$606&lt;&gt;"")*($G$7:$G$606=$G442)*($H$7:$H$606=$H442)*(ROW($A$7:$A$606)&lt;&gt;442)*($L$7:$L$606&lt;=$M442)*($M$7:$M$606&gt;=$L442))&gt;0,"⚠ Çakışma","OK")))</f>
        <v/>
      </c>
      <c r="P442" s="28" t="str">
        <f aca="false">IF($A442="","",IF(OR($K442="",$H442="",$L442=""),"",IF(SUMPRODUCT(($A$7:$A$606&lt;&gt;"")*($K$7:$K$606=$K442)*($H$7:$H$606=$H442)*(ROW($A$7:$A$606)&lt;&gt;442)*($L$7:$L$606&lt;=$M442)*($M$7:$M$606&gt;=$L442))&gt;0,"⚠ Çakışma","OK")))</f>
        <v/>
      </c>
      <c r="Q442" s="28" t="str">
        <f aca="false">IF($A442="","",IF(OR($E442="",$H442="",$L442=""),"",IF(SUMPRODUCT(($A$7:$A$606&lt;&gt;"")*($E$7:$E$606=$E442)*($H$7:$H$606=$H442)*(ROW($A$7:$A$606)&lt;&gt;442)*($L$7:$L$606&lt;=$M442)*($M$7:$M$606&gt;=$L442))&gt;0,"⚠ Çakışma","OK")))</f>
        <v/>
      </c>
      <c r="R442" s="28" t="str">
        <f aca="false">IF($A442="","",IF(OR($N442&lt;&gt;"",$O442="⚠ Çakışma",$P442="⚠ Çakışma",$Q442="⚠ Çakışma"),"⚠ Kontrol Et","✓ Uygun"))</f>
        <v/>
      </c>
    </row>
    <row r="443" customFormat="false" ht="13.5" hidden="false" customHeight="true" outlineLevel="0" collapsed="false">
      <c r="A443" s="28" t="str">
        <f aca="false">IF('3-Turizm İşletmeciliği'!A40="","","Turizm İşletmeciliği")</f>
        <v/>
      </c>
      <c r="B443" s="28" t="str">
        <f aca="false">IF($A443="","",IF('3-Turizm İşletmeciliği'!A40="","",'3-Turizm İşletmeciliği'!A40))</f>
        <v/>
      </c>
      <c r="C443" s="29" t="str">
        <f aca="false">IF($A443="","",IF('3-Turizm İşletmeciliği'!B40="","",'3-Turizm İşletmeciliği'!B40))</f>
        <v/>
      </c>
      <c r="D443" s="28" t="str">
        <f aca="false">IF($A443="","",IF('3-Turizm İşletmeciliği'!C40="","",'3-Turizm İşletmeciliği'!C40))</f>
        <v/>
      </c>
      <c r="E443" s="28" t="str">
        <f aca="false">IF($A443="","",$A443&amp;"-"&amp;$D443)</f>
        <v/>
      </c>
      <c r="F443" s="28" t="str">
        <f aca="false">IF($A443="","",IF('3-Turizm İşletmeciliği'!D40="","",'3-Turizm İşletmeciliği'!D40))</f>
        <v/>
      </c>
      <c r="G443" s="28" t="str">
        <f aca="false">IF($A443="","",IF('3-Turizm İşletmeciliği'!E40="","",'3-Turizm İşletmeciliği'!E40))</f>
        <v/>
      </c>
      <c r="H443" s="28" t="str">
        <f aca="false">IF($A443="","",IF('3-Turizm İşletmeciliği'!F40="","",'3-Turizm İşletmeciliği'!F40))</f>
        <v/>
      </c>
      <c r="I443" s="28" t="str">
        <f aca="false">IF($A443="","",IF('3-Turizm İşletmeciliği'!G40="","",'3-Turizm İşletmeciliği'!G40))</f>
        <v/>
      </c>
      <c r="J443" s="28" t="str">
        <f aca="false">IF($A443="","",IF('3-Turizm İşletmeciliği'!H40="","",'3-Turizm İşletmeciliği'!H40))</f>
        <v/>
      </c>
      <c r="K443" s="28" t="str">
        <f aca="false">IF($A443="","",IF('3-Turizm İşletmeciliği'!I40="","",'3-Turizm İşletmeciliği'!I40))</f>
        <v/>
      </c>
      <c r="L443" s="28" t="str">
        <f aca="false">IF($I443="","",MATCH($I443,{"08.00";"09.00";"10.00";"11.00";"12.00";"13.00";"14.00";"15.00";"16.00";"17.00"},0))</f>
        <v/>
      </c>
      <c r="M443" s="28" t="str">
        <f aca="false">IF(OR($L443="",$J443=""),"",$L443+$J443-1)</f>
        <v/>
      </c>
      <c r="N443" s="28" t="str">
        <f aca="false">IF($A443="","",IF(OR($L443="",$M443=""),"",IF($M443&gt;10,"⚠ Saat Taşıyor","")))</f>
        <v/>
      </c>
      <c r="O443" s="28" t="str">
        <f aca="false">IF($A443="","",IF(OR($G443="",$H443="",$L443=""),"",IF(SUMPRODUCT(($A$7:$A$606&lt;&gt;"")*($G$7:$G$606=$G443)*($H$7:$H$606=$H443)*(ROW($A$7:$A$606)&lt;&gt;443)*($L$7:$L$606&lt;=$M443)*($M$7:$M$606&gt;=$L443))&gt;0,"⚠ Çakışma","OK")))</f>
        <v/>
      </c>
      <c r="P443" s="28" t="str">
        <f aca="false">IF($A443="","",IF(OR($K443="",$H443="",$L443=""),"",IF(SUMPRODUCT(($A$7:$A$606&lt;&gt;"")*($K$7:$K$606=$K443)*($H$7:$H$606=$H443)*(ROW($A$7:$A$606)&lt;&gt;443)*($L$7:$L$606&lt;=$M443)*($M$7:$M$606&gt;=$L443))&gt;0,"⚠ Çakışma","OK")))</f>
        <v/>
      </c>
      <c r="Q443" s="28" t="str">
        <f aca="false">IF($A443="","",IF(OR($E443="",$H443="",$L443=""),"",IF(SUMPRODUCT(($A$7:$A$606&lt;&gt;"")*($E$7:$E$606=$E443)*($H$7:$H$606=$H443)*(ROW($A$7:$A$606)&lt;&gt;443)*($L$7:$L$606&lt;=$M443)*($M$7:$M$606&gt;=$L443))&gt;0,"⚠ Çakışma","OK")))</f>
        <v/>
      </c>
      <c r="R443" s="28" t="str">
        <f aca="false">IF($A443="","",IF(OR($N443&lt;&gt;"",$O443="⚠ Çakışma",$P443="⚠ Çakışma",$Q443="⚠ Çakışma"),"⚠ Kontrol Et","✓ Uygun"))</f>
        <v/>
      </c>
    </row>
    <row r="444" customFormat="false" ht="13.5" hidden="false" customHeight="true" outlineLevel="0" collapsed="false">
      <c r="A444" s="28" t="str">
        <f aca="false">IF('3-Turizm İşletmeciliği'!A41="","","Turizm İşletmeciliği")</f>
        <v/>
      </c>
      <c r="B444" s="28" t="str">
        <f aca="false">IF($A444="","",IF('3-Turizm İşletmeciliği'!A41="","",'3-Turizm İşletmeciliği'!A41))</f>
        <v/>
      </c>
      <c r="C444" s="29" t="str">
        <f aca="false">IF($A444="","",IF('3-Turizm İşletmeciliği'!B41="","",'3-Turizm İşletmeciliği'!B41))</f>
        <v/>
      </c>
      <c r="D444" s="28" t="str">
        <f aca="false">IF($A444="","",IF('3-Turizm İşletmeciliği'!C41="","",'3-Turizm İşletmeciliği'!C41))</f>
        <v/>
      </c>
      <c r="E444" s="28" t="str">
        <f aca="false">IF($A444="","",$A444&amp;"-"&amp;$D444)</f>
        <v/>
      </c>
      <c r="F444" s="28" t="str">
        <f aca="false">IF($A444="","",IF('3-Turizm İşletmeciliği'!D41="","",'3-Turizm İşletmeciliği'!D41))</f>
        <v/>
      </c>
      <c r="G444" s="28" t="str">
        <f aca="false">IF($A444="","",IF('3-Turizm İşletmeciliği'!E41="","",'3-Turizm İşletmeciliği'!E41))</f>
        <v/>
      </c>
      <c r="H444" s="28" t="str">
        <f aca="false">IF($A444="","",IF('3-Turizm İşletmeciliği'!F41="","",'3-Turizm İşletmeciliği'!F41))</f>
        <v/>
      </c>
      <c r="I444" s="28" t="str">
        <f aca="false">IF($A444="","",IF('3-Turizm İşletmeciliği'!G41="","",'3-Turizm İşletmeciliği'!G41))</f>
        <v/>
      </c>
      <c r="J444" s="28" t="str">
        <f aca="false">IF($A444="","",IF('3-Turizm İşletmeciliği'!H41="","",'3-Turizm İşletmeciliği'!H41))</f>
        <v/>
      </c>
      <c r="K444" s="28" t="str">
        <f aca="false">IF($A444="","",IF('3-Turizm İşletmeciliği'!I41="","",'3-Turizm İşletmeciliği'!I41))</f>
        <v/>
      </c>
      <c r="L444" s="28" t="str">
        <f aca="false">IF($I444="","",MATCH($I444,{"08.00";"09.00";"10.00";"11.00";"12.00";"13.00";"14.00";"15.00";"16.00";"17.00"},0))</f>
        <v/>
      </c>
      <c r="M444" s="28" t="str">
        <f aca="false">IF(OR($L444="",$J444=""),"",$L444+$J444-1)</f>
        <v/>
      </c>
      <c r="N444" s="28" t="str">
        <f aca="false">IF($A444="","",IF(OR($L444="",$M444=""),"",IF($M444&gt;10,"⚠ Saat Taşıyor","")))</f>
        <v/>
      </c>
      <c r="O444" s="28" t="str">
        <f aca="false">IF($A444="","",IF(OR($G444="",$H444="",$L444=""),"",IF(SUMPRODUCT(($A$7:$A$606&lt;&gt;"")*($G$7:$G$606=$G444)*($H$7:$H$606=$H444)*(ROW($A$7:$A$606)&lt;&gt;444)*($L$7:$L$606&lt;=$M444)*($M$7:$M$606&gt;=$L444))&gt;0,"⚠ Çakışma","OK")))</f>
        <v/>
      </c>
      <c r="P444" s="28" t="str">
        <f aca="false">IF($A444="","",IF(OR($K444="",$H444="",$L444=""),"",IF(SUMPRODUCT(($A$7:$A$606&lt;&gt;"")*($K$7:$K$606=$K444)*($H$7:$H$606=$H444)*(ROW($A$7:$A$606)&lt;&gt;444)*($L$7:$L$606&lt;=$M444)*($M$7:$M$606&gt;=$L444))&gt;0,"⚠ Çakışma","OK")))</f>
        <v/>
      </c>
      <c r="Q444" s="28" t="str">
        <f aca="false">IF($A444="","",IF(OR($E444="",$H444="",$L444=""),"",IF(SUMPRODUCT(($A$7:$A$606&lt;&gt;"")*($E$7:$E$606=$E444)*($H$7:$H$606=$H444)*(ROW($A$7:$A$606)&lt;&gt;444)*($L$7:$L$606&lt;=$M444)*($M$7:$M$606&gt;=$L444))&gt;0,"⚠ Çakışma","OK")))</f>
        <v/>
      </c>
      <c r="R444" s="28" t="str">
        <f aca="false">IF($A444="","",IF(OR($N444&lt;&gt;"",$O444="⚠ Çakışma",$P444="⚠ Çakışma",$Q444="⚠ Çakışma"),"⚠ Kontrol Et","✓ Uygun"))</f>
        <v/>
      </c>
    </row>
    <row r="445" customFormat="false" ht="13.5" hidden="false" customHeight="true" outlineLevel="0" collapsed="false">
      <c r="A445" s="28" t="str">
        <f aca="false">IF('3-Turizm İşletmeciliği'!A42="","","Turizm İşletmeciliği")</f>
        <v/>
      </c>
      <c r="B445" s="28" t="str">
        <f aca="false">IF($A445="","",IF('3-Turizm İşletmeciliği'!A42="","",'3-Turizm İşletmeciliği'!A42))</f>
        <v/>
      </c>
      <c r="C445" s="29" t="str">
        <f aca="false">IF($A445="","",IF('3-Turizm İşletmeciliği'!B42="","",'3-Turizm İşletmeciliği'!B42))</f>
        <v/>
      </c>
      <c r="D445" s="28" t="str">
        <f aca="false">IF($A445="","",IF('3-Turizm İşletmeciliği'!C42="","",'3-Turizm İşletmeciliği'!C42))</f>
        <v/>
      </c>
      <c r="E445" s="28" t="str">
        <f aca="false">IF($A445="","",$A445&amp;"-"&amp;$D445)</f>
        <v/>
      </c>
      <c r="F445" s="28" t="str">
        <f aca="false">IF($A445="","",IF('3-Turizm İşletmeciliği'!D42="","",'3-Turizm İşletmeciliği'!D42))</f>
        <v/>
      </c>
      <c r="G445" s="28" t="str">
        <f aca="false">IF($A445="","",IF('3-Turizm İşletmeciliği'!E42="","",'3-Turizm İşletmeciliği'!E42))</f>
        <v/>
      </c>
      <c r="H445" s="28" t="str">
        <f aca="false">IF($A445="","",IF('3-Turizm İşletmeciliği'!F42="","",'3-Turizm İşletmeciliği'!F42))</f>
        <v/>
      </c>
      <c r="I445" s="28" t="str">
        <f aca="false">IF($A445="","",IF('3-Turizm İşletmeciliği'!G42="","",'3-Turizm İşletmeciliği'!G42))</f>
        <v/>
      </c>
      <c r="J445" s="28" t="str">
        <f aca="false">IF($A445="","",IF('3-Turizm İşletmeciliği'!H42="","",'3-Turizm İşletmeciliği'!H42))</f>
        <v/>
      </c>
      <c r="K445" s="28" t="str">
        <f aca="false">IF($A445="","",IF('3-Turizm İşletmeciliği'!I42="","",'3-Turizm İşletmeciliği'!I42))</f>
        <v/>
      </c>
      <c r="L445" s="28" t="str">
        <f aca="false">IF($I445="","",MATCH($I445,{"08.00";"09.00";"10.00";"11.00";"12.00";"13.00";"14.00";"15.00";"16.00";"17.00"},0))</f>
        <v/>
      </c>
      <c r="M445" s="28" t="str">
        <f aca="false">IF(OR($L445="",$J445=""),"",$L445+$J445-1)</f>
        <v/>
      </c>
      <c r="N445" s="28" t="str">
        <f aca="false">IF($A445="","",IF(OR($L445="",$M445=""),"",IF($M445&gt;10,"⚠ Saat Taşıyor","")))</f>
        <v/>
      </c>
      <c r="O445" s="28" t="str">
        <f aca="false">IF($A445="","",IF(OR($G445="",$H445="",$L445=""),"",IF(SUMPRODUCT(($A$7:$A$606&lt;&gt;"")*($G$7:$G$606=$G445)*($H$7:$H$606=$H445)*(ROW($A$7:$A$606)&lt;&gt;445)*($L$7:$L$606&lt;=$M445)*($M$7:$M$606&gt;=$L445))&gt;0,"⚠ Çakışma","OK")))</f>
        <v/>
      </c>
      <c r="P445" s="28" t="str">
        <f aca="false">IF($A445="","",IF(OR($K445="",$H445="",$L445=""),"",IF(SUMPRODUCT(($A$7:$A$606&lt;&gt;"")*($K$7:$K$606=$K445)*($H$7:$H$606=$H445)*(ROW($A$7:$A$606)&lt;&gt;445)*($L$7:$L$606&lt;=$M445)*($M$7:$M$606&gt;=$L445))&gt;0,"⚠ Çakışma","OK")))</f>
        <v/>
      </c>
      <c r="Q445" s="28" t="str">
        <f aca="false">IF($A445="","",IF(OR($E445="",$H445="",$L445=""),"",IF(SUMPRODUCT(($A$7:$A$606&lt;&gt;"")*($E$7:$E$606=$E445)*($H$7:$H$606=$H445)*(ROW($A$7:$A$606)&lt;&gt;445)*($L$7:$L$606&lt;=$M445)*($M$7:$M$606&gt;=$L445))&gt;0,"⚠ Çakışma","OK")))</f>
        <v/>
      </c>
      <c r="R445" s="28" t="str">
        <f aca="false">IF($A445="","",IF(OR($N445&lt;&gt;"",$O445="⚠ Çakışma",$P445="⚠ Çakışma",$Q445="⚠ Çakışma"),"⚠ Kontrol Et","✓ Uygun"))</f>
        <v/>
      </c>
    </row>
    <row r="446" customFormat="false" ht="13.5" hidden="false" customHeight="true" outlineLevel="0" collapsed="false">
      <c r="A446" s="28" t="str">
        <f aca="false">IF('3-Turizm İşletmeciliği'!A43="","","Turizm İşletmeciliği")</f>
        <v/>
      </c>
      <c r="B446" s="28" t="str">
        <f aca="false">IF($A446="","",IF('3-Turizm İşletmeciliği'!A43="","",'3-Turizm İşletmeciliği'!A43))</f>
        <v/>
      </c>
      <c r="C446" s="29" t="str">
        <f aca="false">IF($A446="","",IF('3-Turizm İşletmeciliği'!B43="","",'3-Turizm İşletmeciliği'!B43))</f>
        <v/>
      </c>
      <c r="D446" s="28" t="str">
        <f aca="false">IF($A446="","",IF('3-Turizm İşletmeciliği'!C43="","",'3-Turizm İşletmeciliği'!C43))</f>
        <v/>
      </c>
      <c r="E446" s="28" t="str">
        <f aca="false">IF($A446="","",$A446&amp;"-"&amp;$D446)</f>
        <v/>
      </c>
      <c r="F446" s="28" t="str">
        <f aca="false">IF($A446="","",IF('3-Turizm İşletmeciliği'!D43="","",'3-Turizm İşletmeciliği'!D43))</f>
        <v/>
      </c>
      <c r="G446" s="28" t="str">
        <f aca="false">IF($A446="","",IF('3-Turizm İşletmeciliği'!E43="","",'3-Turizm İşletmeciliği'!E43))</f>
        <v/>
      </c>
      <c r="H446" s="28" t="str">
        <f aca="false">IF($A446="","",IF('3-Turizm İşletmeciliği'!F43="","",'3-Turizm İşletmeciliği'!F43))</f>
        <v/>
      </c>
      <c r="I446" s="28" t="str">
        <f aca="false">IF($A446="","",IF('3-Turizm İşletmeciliği'!G43="","",'3-Turizm İşletmeciliği'!G43))</f>
        <v/>
      </c>
      <c r="J446" s="28" t="str">
        <f aca="false">IF($A446="","",IF('3-Turizm İşletmeciliği'!H43="","",'3-Turizm İşletmeciliği'!H43))</f>
        <v/>
      </c>
      <c r="K446" s="28" t="str">
        <f aca="false">IF($A446="","",IF('3-Turizm İşletmeciliği'!I43="","",'3-Turizm İşletmeciliği'!I43))</f>
        <v/>
      </c>
      <c r="L446" s="28" t="str">
        <f aca="false">IF($I446="","",MATCH($I446,{"08.00";"09.00";"10.00";"11.00";"12.00";"13.00";"14.00";"15.00";"16.00";"17.00"},0))</f>
        <v/>
      </c>
      <c r="M446" s="28" t="str">
        <f aca="false">IF(OR($L446="",$J446=""),"",$L446+$J446-1)</f>
        <v/>
      </c>
      <c r="N446" s="28" t="str">
        <f aca="false">IF($A446="","",IF(OR($L446="",$M446=""),"",IF($M446&gt;10,"⚠ Saat Taşıyor","")))</f>
        <v/>
      </c>
      <c r="O446" s="28" t="str">
        <f aca="false">IF($A446="","",IF(OR($G446="",$H446="",$L446=""),"",IF(SUMPRODUCT(($A$7:$A$606&lt;&gt;"")*($G$7:$G$606=$G446)*($H$7:$H$606=$H446)*(ROW($A$7:$A$606)&lt;&gt;446)*($L$7:$L$606&lt;=$M446)*($M$7:$M$606&gt;=$L446))&gt;0,"⚠ Çakışma","OK")))</f>
        <v/>
      </c>
      <c r="P446" s="28" t="str">
        <f aca="false">IF($A446="","",IF(OR($K446="",$H446="",$L446=""),"",IF(SUMPRODUCT(($A$7:$A$606&lt;&gt;"")*($K$7:$K$606=$K446)*($H$7:$H$606=$H446)*(ROW($A$7:$A$606)&lt;&gt;446)*($L$7:$L$606&lt;=$M446)*($M$7:$M$606&gt;=$L446))&gt;0,"⚠ Çakışma","OK")))</f>
        <v/>
      </c>
      <c r="Q446" s="28" t="str">
        <f aca="false">IF($A446="","",IF(OR($E446="",$H446="",$L446=""),"",IF(SUMPRODUCT(($A$7:$A$606&lt;&gt;"")*($E$7:$E$606=$E446)*($H$7:$H$606=$H446)*(ROW($A$7:$A$606)&lt;&gt;446)*($L$7:$L$606&lt;=$M446)*($M$7:$M$606&gt;=$L446))&gt;0,"⚠ Çakışma","OK")))</f>
        <v/>
      </c>
      <c r="R446" s="28" t="str">
        <f aca="false">IF($A446="","",IF(OR($N446&lt;&gt;"",$O446="⚠ Çakışma",$P446="⚠ Çakışma",$Q446="⚠ Çakışma"),"⚠ Kontrol Et","✓ Uygun"))</f>
        <v/>
      </c>
    </row>
    <row r="447" customFormat="false" ht="13.5" hidden="false" customHeight="true" outlineLevel="0" collapsed="false">
      <c r="A447" s="28" t="str">
        <f aca="false">IF('3-Turizm İşletmeciliği'!A44="","","Turizm İşletmeciliği")</f>
        <v/>
      </c>
      <c r="B447" s="28" t="str">
        <f aca="false">IF($A447="","",IF('3-Turizm İşletmeciliği'!A44="","",'3-Turizm İşletmeciliği'!A44))</f>
        <v/>
      </c>
      <c r="C447" s="29" t="str">
        <f aca="false">IF($A447="","",IF('3-Turizm İşletmeciliği'!B44="","",'3-Turizm İşletmeciliği'!B44))</f>
        <v/>
      </c>
      <c r="D447" s="28" t="str">
        <f aca="false">IF($A447="","",IF('3-Turizm İşletmeciliği'!C44="","",'3-Turizm İşletmeciliği'!C44))</f>
        <v/>
      </c>
      <c r="E447" s="28" t="str">
        <f aca="false">IF($A447="","",$A447&amp;"-"&amp;$D447)</f>
        <v/>
      </c>
      <c r="F447" s="28" t="str">
        <f aca="false">IF($A447="","",IF('3-Turizm İşletmeciliği'!D44="","",'3-Turizm İşletmeciliği'!D44))</f>
        <v/>
      </c>
      <c r="G447" s="28" t="str">
        <f aca="false">IF($A447="","",IF('3-Turizm İşletmeciliği'!E44="","",'3-Turizm İşletmeciliği'!E44))</f>
        <v/>
      </c>
      <c r="H447" s="28" t="str">
        <f aca="false">IF($A447="","",IF('3-Turizm İşletmeciliği'!F44="","",'3-Turizm İşletmeciliği'!F44))</f>
        <v/>
      </c>
      <c r="I447" s="28" t="str">
        <f aca="false">IF($A447="","",IF('3-Turizm İşletmeciliği'!G44="","",'3-Turizm İşletmeciliği'!G44))</f>
        <v/>
      </c>
      <c r="J447" s="28" t="str">
        <f aca="false">IF($A447="","",IF('3-Turizm İşletmeciliği'!H44="","",'3-Turizm İşletmeciliği'!H44))</f>
        <v/>
      </c>
      <c r="K447" s="28" t="str">
        <f aca="false">IF($A447="","",IF('3-Turizm İşletmeciliği'!I44="","",'3-Turizm İşletmeciliği'!I44))</f>
        <v/>
      </c>
      <c r="L447" s="28" t="str">
        <f aca="false">IF($I447="","",MATCH($I447,{"08.00";"09.00";"10.00";"11.00";"12.00";"13.00";"14.00";"15.00";"16.00";"17.00"},0))</f>
        <v/>
      </c>
      <c r="M447" s="28" t="str">
        <f aca="false">IF(OR($L447="",$J447=""),"",$L447+$J447-1)</f>
        <v/>
      </c>
      <c r="N447" s="28" t="str">
        <f aca="false">IF($A447="","",IF(OR($L447="",$M447=""),"",IF($M447&gt;10,"⚠ Saat Taşıyor","")))</f>
        <v/>
      </c>
      <c r="O447" s="28" t="str">
        <f aca="false">IF($A447="","",IF(OR($G447="",$H447="",$L447=""),"",IF(SUMPRODUCT(($A$7:$A$606&lt;&gt;"")*($G$7:$G$606=$G447)*($H$7:$H$606=$H447)*(ROW($A$7:$A$606)&lt;&gt;447)*($L$7:$L$606&lt;=$M447)*($M$7:$M$606&gt;=$L447))&gt;0,"⚠ Çakışma","OK")))</f>
        <v/>
      </c>
      <c r="P447" s="28" t="str">
        <f aca="false">IF($A447="","",IF(OR($K447="",$H447="",$L447=""),"",IF(SUMPRODUCT(($A$7:$A$606&lt;&gt;"")*($K$7:$K$606=$K447)*($H$7:$H$606=$H447)*(ROW($A$7:$A$606)&lt;&gt;447)*($L$7:$L$606&lt;=$M447)*($M$7:$M$606&gt;=$L447))&gt;0,"⚠ Çakışma","OK")))</f>
        <v/>
      </c>
      <c r="Q447" s="28" t="str">
        <f aca="false">IF($A447="","",IF(OR($E447="",$H447="",$L447=""),"",IF(SUMPRODUCT(($A$7:$A$606&lt;&gt;"")*($E$7:$E$606=$E447)*($H$7:$H$606=$H447)*(ROW($A$7:$A$606)&lt;&gt;447)*($L$7:$L$606&lt;=$M447)*($M$7:$M$606&gt;=$L447))&gt;0,"⚠ Çakışma","OK")))</f>
        <v/>
      </c>
      <c r="R447" s="28" t="str">
        <f aca="false">IF($A447="","",IF(OR($N447&lt;&gt;"",$O447="⚠ Çakışma",$P447="⚠ Çakışma",$Q447="⚠ Çakışma"),"⚠ Kontrol Et","✓ Uygun"))</f>
        <v/>
      </c>
    </row>
    <row r="448" customFormat="false" ht="13.5" hidden="false" customHeight="true" outlineLevel="0" collapsed="false">
      <c r="A448" s="28" t="str">
        <f aca="false">IF('3-Turizm İşletmeciliği'!A45="","","Turizm İşletmeciliği")</f>
        <v/>
      </c>
      <c r="B448" s="28" t="str">
        <f aca="false">IF($A448="","",IF('3-Turizm İşletmeciliği'!A45="","",'3-Turizm İşletmeciliği'!A45))</f>
        <v/>
      </c>
      <c r="C448" s="29" t="str">
        <f aca="false">IF($A448="","",IF('3-Turizm İşletmeciliği'!B45="","",'3-Turizm İşletmeciliği'!B45))</f>
        <v/>
      </c>
      <c r="D448" s="28" t="str">
        <f aca="false">IF($A448="","",IF('3-Turizm İşletmeciliği'!C45="","",'3-Turizm İşletmeciliği'!C45))</f>
        <v/>
      </c>
      <c r="E448" s="28" t="str">
        <f aca="false">IF($A448="","",$A448&amp;"-"&amp;$D448)</f>
        <v/>
      </c>
      <c r="F448" s="28" t="str">
        <f aca="false">IF($A448="","",IF('3-Turizm İşletmeciliği'!D45="","",'3-Turizm İşletmeciliği'!D45))</f>
        <v/>
      </c>
      <c r="G448" s="28" t="str">
        <f aca="false">IF($A448="","",IF('3-Turizm İşletmeciliği'!E45="","",'3-Turizm İşletmeciliği'!E45))</f>
        <v/>
      </c>
      <c r="H448" s="28" t="str">
        <f aca="false">IF($A448="","",IF('3-Turizm İşletmeciliği'!F45="","",'3-Turizm İşletmeciliği'!F45))</f>
        <v/>
      </c>
      <c r="I448" s="28" t="str">
        <f aca="false">IF($A448="","",IF('3-Turizm İşletmeciliği'!G45="","",'3-Turizm İşletmeciliği'!G45))</f>
        <v/>
      </c>
      <c r="J448" s="28" t="str">
        <f aca="false">IF($A448="","",IF('3-Turizm İşletmeciliği'!H45="","",'3-Turizm İşletmeciliği'!H45))</f>
        <v/>
      </c>
      <c r="K448" s="28" t="str">
        <f aca="false">IF($A448="","",IF('3-Turizm İşletmeciliği'!I45="","",'3-Turizm İşletmeciliği'!I45))</f>
        <v/>
      </c>
      <c r="L448" s="28" t="str">
        <f aca="false">IF($I448="","",MATCH($I448,{"08.00";"09.00";"10.00";"11.00";"12.00";"13.00";"14.00";"15.00";"16.00";"17.00"},0))</f>
        <v/>
      </c>
      <c r="M448" s="28" t="str">
        <f aca="false">IF(OR($L448="",$J448=""),"",$L448+$J448-1)</f>
        <v/>
      </c>
      <c r="N448" s="28" t="str">
        <f aca="false">IF($A448="","",IF(OR($L448="",$M448=""),"",IF($M448&gt;10,"⚠ Saat Taşıyor","")))</f>
        <v/>
      </c>
      <c r="O448" s="28" t="str">
        <f aca="false">IF($A448="","",IF(OR($G448="",$H448="",$L448=""),"",IF(SUMPRODUCT(($A$7:$A$606&lt;&gt;"")*($G$7:$G$606=$G448)*($H$7:$H$606=$H448)*(ROW($A$7:$A$606)&lt;&gt;448)*($L$7:$L$606&lt;=$M448)*($M$7:$M$606&gt;=$L448))&gt;0,"⚠ Çakışma","OK")))</f>
        <v/>
      </c>
      <c r="P448" s="28" t="str">
        <f aca="false">IF($A448="","",IF(OR($K448="",$H448="",$L448=""),"",IF(SUMPRODUCT(($A$7:$A$606&lt;&gt;"")*($K$7:$K$606=$K448)*($H$7:$H$606=$H448)*(ROW($A$7:$A$606)&lt;&gt;448)*($L$7:$L$606&lt;=$M448)*($M$7:$M$606&gt;=$L448))&gt;0,"⚠ Çakışma","OK")))</f>
        <v/>
      </c>
      <c r="Q448" s="28" t="str">
        <f aca="false">IF($A448="","",IF(OR($E448="",$H448="",$L448=""),"",IF(SUMPRODUCT(($A$7:$A$606&lt;&gt;"")*($E$7:$E$606=$E448)*($H$7:$H$606=$H448)*(ROW($A$7:$A$606)&lt;&gt;448)*($L$7:$L$606&lt;=$M448)*($M$7:$M$606&gt;=$L448))&gt;0,"⚠ Çakışma","OK")))</f>
        <v/>
      </c>
      <c r="R448" s="28" t="str">
        <f aca="false">IF($A448="","",IF(OR($N448&lt;&gt;"",$O448="⚠ Çakışma",$P448="⚠ Çakışma",$Q448="⚠ Çakışma"),"⚠ Kontrol Et","✓ Uygun"))</f>
        <v/>
      </c>
    </row>
    <row r="449" customFormat="false" ht="13.5" hidden="false" customHeight="true" outlineLevel="0" collapsed="false">
      <c r="A449" s="28" t="str">
        <f aca="false">IF('3-Turizm İşletmeciliği'!A46="","","Turizm İşletmeciliği")</f>
        <v/>
      </c>
      <c r="B449" s="28" t="str">
        <f aca="false">IF($A449="","",IF('3-Turizm İşletmeciliği'!A46="","",'3-Turizm İşletmeciliği'!A46))</f>
        <v/>
      </c>
      <c r="C449" s="29" t="str">
        <f aca="false">IF($A449="","",IF('3-Turizm İşletmeciliği'!B46="","",'3-Turizm İşletmeciliği'!B46))</f>
        <v/>
      </c>
      <c r="D449" s="28" t="str">
        <f aca="false">IF($A449="","",IF('3-Turizm İşletmeciliği'!C46="","",'3-Turizm İşletmeciliği'!C46))</f>
        <v/>
      </c>
      <c r="E449" s="28" t="str">
        <f aca="false">IF($A449="","",$A449&amp;"-"&amp;$D449)</f>
        <v/>
      </c>
      <c r="F449" s="28" t="str">
        <f aca="false">IF($A449="","",IF('3-Turizm İşletmeciliği'!D46="","",'3-Turizm İşletmeciliği'!D46))</f>
        <v/>
      </c>
      <c r="G449" s="28" t="str">
        <f aca="false">IF($A449="","",IF('3-Turizm İşletmeciliği'!E46="","",'3-Turizm İşletmeciliği'!E46))</f>
        <v/>
      </c>
      <c r="H449" s="28" t="str">
        <f aca="false">IF($A449="","",IF('3-Turizm İşletmeciliği'!F46="","",'3-Turizm İşletmeciliği'!F46))</f>
        <v/>
      </c>
      <c r="I449" s="28" t="str">
        <f aca="false">IF($A449="","",IF('3-Turizm İşletmeciliği'!G46="","",'3-Turizm İşletmeciliği'!G46))</f>
        <v/>
      </c>
      <c r="J449" s="28" t="str">
        <f aca="false">IF($A449="","",IF('3-Turizm İşletmeciliği'!H46="","",'3-Turizm İşletmeciliği'!H46))</f>
        <v/>
      </c>
      <c r="K449" s="28" t="str">
        <f aca="false">IF($A449="","",IF('3-Turizm İşletmeciliği'!I46="","",'3-Turizm İşletmeciliği'!I46))</f>
        <v/>
      </c>
      <c r="L449" s="28" t="str">
        <f aca="false">IF($I449="","",MATCH($I449,{"08.00";"09.00";"10.00";"11.00";"12.00";"13.00";"14.00";"15.00";"16.00";"17.00"},0))</f>
        <v/>
      </c>
      <c r="M449" s="28" t="str">
        <f aca="false">IF(OR($L449="",$J449=""),"",$L449+$J449-1)</f>
        <v/>
      </c>
      <c r="N449" s="28" t="str">
        <f aca="false">IF($A449="","",IF(OR($L449="",$M449=""),"",IF($M449&gt;10,"⚠ Saat Taşıyor","")))</f>
        <v/>
      </c>
      <c r="O449" s="28" t="str">
        <f aca="false">IF($A449="","",IF(OR($G449="",$H449="",$L449=""),"",IF(SUMPRODUCT(($A$7:$A$606&lt;&gt;"")*($G$7:$G$606=$G449)*($H$7:$H$606=$H449)*(ROW($A$7:$A$606)&lt;&gt;449)*($L$7:$L$606&lt;=$M449)*($M$7:$M$606&gt;=$L449))&gt;0,"⚠ Çakışma","OK")))</f>
        <v/>
      </c>
      <c r="P449" s="28" t="str">
        <f aca="false">IF($A449="","",IF(OR($K449="",$H449="",$L449=""),"",IF(SUMPRODUCT(($A$7:$A$606&lt;&gt;"")*($K$7:$K$606=$K449)*($H$7:$H$606=$H449)*(ROW($A$7:$A$606)&lt;&gt;449)*($L$7:$L$606&lt;=$M449)*($M$7:$M$606&gt;=$L449))&gt;0,"⚠ Çakışma","OK")))</f>
        <v/>
      </c>
      <c r="Q449" s="28" t="str">
        <f aca="false">IF($A449="","",IF(OR($E449="",$H449="",$L449=""),"",IF(SUMPRODUCT(($A$7:$A$606&lt;&gt;"")*($E$7:$E$606=$E449)*($H$7:$H$606=$H449)*(ROW($A$7:$A$606)&lt;&gt;449)*($L$7:$L$606&lt;=$M449)*($M$7:$M$606&gt;=$L449))&gt;0,"⚠ Çakışma","OK")))</f>
        <v/>
      </c>
      <c r="R449" s="28" t="str">
        <f aca="false">IF($A449="","",IF(OR($N449&lt;&gt;"",$O449="⚠ Çakışma",$P449="⚠ Çakışma",$Q449="⚠ Çakışma"),"⚠ Kontrol Et","✓ Uygun"))</f>
        <v/>
      </c>
    </row>
    <row r="450" customFormat="false" ht="13.5" hidden="false" customHeight="true" outlineLevel="0" collapsed="false">
      <c r="A450" s="28" t="str">
        <f aca="false">IF('3-Turizm İşletmeciliği'!A47="","","Turizm İşletmeciliği")</f>
        <v/>
      </c>
      <c r="B450" s="28" t="str">
        <f aca="false">IF($A450="","",IF('3-Turizm İşletmeciliği'!A47="","",'3-Turizm İşletmeciliği'!A47))</f>
        <v/>
      </c>
      <c r="C450" s="29" t="str">
        <f aca="false">IF($A450="","",IF('3-Turizm İşletmeciliği'!B47="","",'3-Turizm İşletmeciliği'!B47))</f>
        <v/>
      </c>
      <c r="D450" s="28" t="str">
        <f aca="false">IF($A450="","",IF('3-Turizm İşletmeciliği'!C47="","",'3-Turizm İşletmeciliği'!C47))</f>
        <v/>
      </c>
      <c r="E450" s="28" t="str">
        <f aca="false">IF($A450="","",$A450&amp;"-"&amp;$D450)</f>
        <v/>
      </c>
      <c r="F450" s="28" t="str">
        <f aca="false">IF($A450="","",IF('3-Turizm İşletmeciliği'!D47="","",'3-Turizm İşletmeciliği'!D47))</f>
        <v/>
      </c>
      <c r="G450" s="28" t="str">
        <f aca="false">IF($A450="","",IF('3-Turizm İşletmeciliği'!E47="","",'3-Turizm İşletmeciliği'!E47))</f>
        <v/>
      </c>
      <c r="H450" s="28" t="str">
        <f aca="false">IF($A450="","",IF('3-Turizm İşletmeciliği'!F47="","",'3-Turizm İşletmeciliği'!F47))</f>
        <v/>
      </c>
      <c r="I450" s="28" t="str">
        <f aca="false">IF($A450="","",IF('3-Turizm İşletmeciliği'!G47="","",'3-Turizm İşletmeciliği'!G47))</f>
        <v/>
      </c>
      <c r="J450" s="28" t="str">
        <f aca="false">IF($A450="","",IF('3-Turizm İşletmeciliği'!H47="","",'3-Turizm İşletmeciliği'!H47))</f>
        <v/>
      </c>
      <c r="K450" s="28" t="str">
        <f aca="false">IF($A450="","",IF('3-Turizm İşletmeciliği'!I47="","",'3-Turizm İşletmeciliği'!I47))</f>
        <v/>
      </c>
      <c r="L450" s="28" t="str">
        <f aca="false">IF($I450="","",MATCH($I450,{"08.00";"09.00";"10.00";"11.00";"12.00";"13.00";"14.00";"15.00";"16.00";"17.00"},0))</f>
        <v/>
      </c>
      <c r="M450" s="28" t="str">
        <f aca="false">IF(OR($L450="",$J450=""),"",$L450+$J450-1)</f>
        <v/>
      </c>
      <c r="N450" s="28" t="str">
        <f aca="false">IF($A450="","",IF(OR($L450="",$M450=""),"",IF($M450&gt;10,"⚠ Saat Taşıyor","")))</f>
        <v/>
      </c>
      <c r="O450" s="28" t="str">
        <f aca="false">IF($A450="","",IF(OR($G450="",$H450="",$L450=""),"",IF(SUMPRODUCT(($A$7:$A$606&lt;&gt;"")*($G$7:$G$606=$G450)*($H$7:$H$606=$H450)*(ROW($A$7:$A$606)&lt;&gt;450)*($L$7:$L$606&lt;=$M450)*($M$7:$M$606&gt;=$L450))&gt;0,"⚠ Çakışma","OK")))</f>
        <v/>
      </c>
      <c r="P450" s="28" t="str">
        <f aca="false">IF($A450="","",IF(OR($K450="",$H450="",$L450=""),"",IF(SUMPRODUCT(($A$7:$A$606&lt;&gt;"")*($K$7:$K$606=$K450)*($H$7:$H$606=$H450)*(ROW($A$7:$A$606)&lt;&gt;450)*($L$7:$L$606&lt;=$M450)*($M$7:$M$606&gt;=$L450))&gt;0,"⚠ Çakışma","OK")))</f>
        <v/>
      </c>
      <c r="Q450" s="28" t="str">
        <f aca="false">IF($A450="","",IF(OR($E450="",$H450="",$L450=""),"",IF(SUMPRODUCT(($A$7:$A$606&lt;&gt;"")*($E$7:$E$606=$E450)*($H$7:$H$606=$H450)*(ROW($A$7:$A$606)&lt;&gt;450)*($L$7:$L$606&lt;=$M450)*($M$7:$M$606&gt;=$L450))&gt;0,"⚠ Çakışma","OK")))</f>
        <v/>
      </c>
      <c r="R450" s="28" t="str">
        <f aca="false">IF($A450="","",IF(OR($N450&lt;&gt;"",$O450="⚠ Çakışma",$P450="⚠ Çakışma",$Q450="⚠ Çakışma"),"⚠ Kontrol Et","✓ Uygun"))</f>
        <v/>
      </c>
    </row>
    <row r="451" customFormat="false" ht="13.5" hidden="false" customHeight="true" outlineLevel="0" collapsed="false">
      <c r="A451" s="28" t="str">
        <f aca="false">IF('3-Turizm İşletmeciliği'!A48="","","Turizm İşletmeciliği")</f>
        <v/>
      </c>
      <c r="B451" s="28" t="str">
        <f aca="false">IF($A451="","",IF('3-Turizm İşletmeciliği'!A48="","",'3-Turizm İşletmeciliği'!A48))</f>
        <v/>
      </c>
      <c r="C451" s="29" t="str">
        <f aca="false">IF($A451="","",IF('3-Turizm İşletmeciliği'!B48="","",'3-Turizm İşletmeciliği'!B48))</f>
        <v/>
      </c>
      <c r="D451" s="28" t="str">
        <f aca="false">IF($A451="","",IF('3-Turizm İşletmeciliği'!C48="","",'3-Turizm İşletmeciliği'!C48))</f>
        <v/>
      </c>
      <c r="E451" s="28" t="str">
        <f aca="false">IF($A451="","",$A451&amp;"-"&amp;$D451)</f>
        <v/>
      </c>
      <c r="F451" s="28" t="str">
        <f aca="false">IF($A451="","",IF('3-Turizm İşletmeciliği'!D48="","",'3-Turizm İşletmeciliği'!D48))</f>
        <v/>
      </c>
      <c r="G451" s="28" t="str">
        <f aca="false">IF($A451="","",IF('3-Turizm İşletmeciliği'!E48="","",'3-Turizm İşletmeciliği'!E48))</f>
        <v/>
      </c>
      <c r="H451" s="28" t="str">
        <f aca="false">IF($A451="","",IF('3-Turizm İşletmeciliği'!F48="","",'3-Turizm İşletmeciliği'!F48))</f>
        <v/>
      </c>
      <c r="I451" s="28" t="str">
        <f aca="false">IF($A451="","",IF('3-Turizm İşletmeciliği'!G48="","",'3-Turizm İşletmeciliği'!G48))</f>
        <v/>
      </c>
      <c r="J451" s="28" t="str">
        <f aca="false">IF($A451="","",IF('3-Turizm İşletmeciliği'!H48="","",'3-Turizm İşletmeciliği'!H48))</f>
        <v/>
      </c>
      <c r="K451" s="28" t="str">
        <f aca="false">IF($A451="","",IF('3-Turizm İşletmeciliği'!I48="","",'3-Turizm İşletmeciliği'!I48))</f>
        <v/>
      </c>
      <c r="L451" s="28" t="str">
        <f aca="false">IF($I451="","",MATCH($I451,{"08.00";"09.00";"10.00";"11.00";"12.00";"13.00";"14.00";"15.00";"16.00";"17.00"},0))</f>
        <v/>
      </c>
      <c r="M451" s="28" t="str">
        <f aca="false">IF(OR($L451="",$J451=""),"",$L451+$J451-1)</f>
        <v/>
      </c>
      <c r="N451" s="28" t="str">
        <f aca="false">IF($A451="","",IF(OR($L451="",$M451=""),"",IF($M451&gt;10,"⚠ Saat Taşıyor","")))</f>
        <v/>
      </c>
      <c r="O451" s="28" t="str">
        <f aca="false">IF($A451="","",IF(OR($G451="",$H451="",$L451=""),"",IF(SUMPRODUCT(($A$7:$A$606&lt;&gt;"")*($G$7:$G$606=$G451)*($H$7:$H$606=$H451)*(ROW($A$7:$A$606)&lt;&gt;451)*($L$7:$L$606&lt;=$M451)*($M$7:$M$606&gt;=$L451))&gt;0,"⚠ Çakışma","OK")))</f>
        <v/>
      </c>
      <c r="P451" s="28" t="str">
        <f aca="false">IF($A451="","",IF(OR($K451="",$H451="",$L451=""),"",IF(SUMPRODUCT(($A$7:$A$606&lt;&gt;"")*($K$7:$K$606=$K451)*($H$7:$H$606=$H451)*(ROW($A$7:$A$606)&lt;&gt;451)*($L$7:$L$606&lt;=$M451)*($M$7:$M$606&gt;=$L451))&gt;0,"⚠ Çakışma","OK")))</f>
        <v/>
      </c>
      <c r="Q451" s="28" t="str">
        <f aca="false">IF($A451="","",IF(OR($E451="",$H451="",$L451=""),"",IF(SUMPRODUCT(($A$7:$A$606&lt;&gt;"")*($E$7:$E$606=$E451)*($H$7:$H$606=$H451)*(ROW($A$7:$A$606)&lt;&gt;451)*($L$7:$L$606&lt;=$M451)*($M$7:$M$606&gt;=$L451))&gt;0,"⚠ Çakışma","OK")))</f>
        <v/>
      </c>
      <c r="R451" s="28" t="str">
        <f aca="false">IF($A451="","",IF(OR($N451&lt;&gt;"",$O451="⚠ Çakışma",$P451="⚠ Çakışma",$Q451="⚠ Çakışma"),"⚠ Kontrol Et","✓ Uygun"))</f>
        <v/>
      </c>
    </row>
    <row r="452" customFormat="false" ht="13.5" hidden="false" customHeight="true" outlineLevel="0" collapsed="false">
      <c r="A452" s="28" t="str">
        <f aca="false">IF('3-Turizm İşletmeciliği'!A49="","","Turizm İşletmeciliği")</f>
        <v/>
      </c>
      <c r="B452" s="28" t="str">
        <f aca="false">IF($A452="","",IF('3-Turizm İşletmeciliği'!A49="","",'3-Turizm İşletmeciliği'!A49))</f>
        <v/>
      </c>
      <c r="C452" s="29" t="str">
        <f aca="false">IF($A452="","",IF('3-Turizm İşletmeciliği'!B49="","",'3-Turizm İşletmeciliği'!B49))</f>
        <v/>
      </c>
      <c r="D452" s="28" t="str">
        <f aca="false">IF($A452="","",IF('3-Turizm İşletmeciliği'!C49="","",'3-Turizm İşletmeciliği'!C49))</f>
        <v/>
      </c>
      <c r="E452" s="28" t="str">
        <f aca="false">IF($A452="","",$A452&amp;"-"&amp;$D452)</f>
        <v/>
      </c>
      <c r="F452" s="28" t="str">
        <f aca="false">IF($A452="","",IF('3-Turizm İşletmeciliği'!D49="","",'3-Turizm İşletmeciliği'!D49))</f>
        <v/>
      </c>
      <c r="G452" s="28" t="str">
        <f aca="false">IF($A452="","",IF('3-Turizm İşletmeciliği'!E49="","",'3-Turizm İşletmeciliği'!E49))</f>
        <v/>
      </c>
      <c r="H452" s="28" t="str">
        <f aca="false">IF($A452="","",IF('3-Turizm İşletmeciliği'!F49="","",'3-Turizm İşletmeciliği'!F49))</f>
        <v/>
      </c>
      <c r="I452" s="28" t="str">
        <f aca="false">IF($A452="","",IF('3-Turizm İşletmeciliği'!G49="","",'3-Turizm İşletmeciliği'!G49))</f>
        <v/>
      </c>
      <c r="J452" s="28" t="str">
        <f aca="false">IF($A452="","",IF('3-Turizm İşletmeciliği'!H49="","",'3-Turizm İşletmeciliği'!H49))</f>
        <v/>
      </c>
      <c r="K452" s="28" t="str">
        <f aca="false">IF($A452="","",IF('3-Turizm İşletmeciliği'!I49="","",'3-Turizm İşletmeciliği'!I49))</f>
        <v/>
      </c>
      <c r="L452" s="28" t="str">
        <f aca="false">IF($I452="","",MATCH($I452,{"08.00";"09.00";"10.00";"11.00";"12.00";"13.00";"14.00";"15.00";"16.00";"17.00"},0))</f>
        <v/>
      </c>
      <c r="M452" s="28" t="str">
        <f aca="false">IF(OR($L452="",$J452=""),"",$L452+$J452-1)</f>
        <v/>
      </c>
      <c r="N452" s="28" t="str">
        <f aca="false">IF($A452="","",IF(OR($L452="",$M452=""),"",IF($M452&gt;10,"⚠ Saat Taşıyor","")))</f>
        <v/>
      </c>
      <c r="O452" s="28" t="str">
        <f aca="false">IF($A452="","",IF(OR($G452="",$H452="",$L452=""),"",IF(SUMPRODUCT(($A$7:$A$606&lt;&gt;"")*($G$7:$G$606=$G452)*($H$7:$H$606=$H452)*(ROW($A$7:$A$606)&lt;&gt;452)*($L$7:$L$606&lt;=$M452)*($M$7:$M$606&gt;=$L452))&gt;0,"⚠ Çakışma","OK")))</f>
        <v/>
      </c>
      <c r="P452" s="28" t="str">
        <f aca="false">IF($A452="","",IF(OR($K452="",$H452="",$L452=""),"",IF(SUMPRODUCT(($A$7:$A$606&lt;&gt;"")*($K$7:$K$606=$K452)*($H$7:$H$606=$H452)*(ROW($A$7:$A$606)&lt;&gt;452)*($L$7:$L$606&lt;=$M452)*($M$7:$M$606&gt;=$L452))&gt;0,"⚠ Çakışma","OK")))</f>
        <v/>
      </c>
      <c r="Q452" s="28" t="str">
        <f aca="false">IF($A452="","",IF(OR($E452="",$H452="",$L452=""),"",IF(SUMPRODUCT(($A$7:$A$606&lt;&gt;"")*($E$7:$E$606=$E452)*($H$7:$H$606=$H452)*(ROW($A$7:$A$606)&lt;&gt;452)*($L$7:$L$606&lt;=$M452)*($M$7:$M$606&gt;=$L452))&gt;0,"⚠ Çakışma","OK")))</f>
        <v/>
      </c>
      <c r="R452" s="28" t="str">
        <f aca="false">IF($A452="","",IF(OR($N452&lt;&gt;"",$O452="⚠ Çakışma",$P452="⚠ Çakışma",$Q452="⚠ Çakışma"),"⚠ Kontrol Et","✓ Uygun"))</f>
        <v/>
      </c>
    </row>
    <row r="453" customFormat="false" ht="13.5" hidden="false" customHeight="true" outlineLevel="0" collapsed="false">
      <c r="A453" s="28" t="str">
        <f aca="false">IF('3-Turizm İşletmeciliği'!A50="","","Turizm İşletmeciliği")</f>
        <v/>
      </c>
      <c r="B453" s="28" t="str">
        <f aca="false">IF($A453="","",IF('3-Turizm İşletmeciliği'!A50="","",'3-Turizm İşletmeciliği'!A50))</f>
        <v/>
      </c>
      <c r="C453" s="29" t="str">
        <f aca="false">IF($A453="","",IF('3-Turizm İşletmeciliği'!B50="","",'3-Turizm İşletmeciliği'!B50))</f>
        <v/>
      </c>
      <c r="D453" s="28" t="str">
        <f aca="false">IF($A453="","",IF('3-Turizm İşletmeciliği'!C50="","",'3-Turizm İşletmeciliği'!C50))</f>
        <v/>
      </c>
      <c r="E453" s="28" t="str">
        <f aca="false">IF($A453="","",$A453&amp;"-"&amp;$D453)</f>
        <v/>
      </c>
      <c r="F453" s="28" t="str">
        <f aca="false">IF($A453="","",IF('3-Turizm İşletmeciliği'!D50="","",'3-Turizm İşletmeciliği'!D50))</f>
        <v/>
      </c>
      <c r="G453" s="28" t="str">
        <f aca="false">IF($A453="","",IF('3-Turizm İşletmeciliği'!E50="","",'3-Turizm İşletmeciliği'!E50))</f>
        <v/>
      </c>
      <c r="H453" s="28" t="str">
        <f aca="false">IF($A453="","",IF('3-Turizm İşletmeciliği'!F50="","",'3-Turizm İşletmeciliği'!F50))</f>
        <v/>
      </c>
      <c r="I453" s="28" t="str">
        <f aca="false">IF($A453="","",IF('3-Turizm İşletmeciliği'!G50="","",'3-Turizm İşletmeciliği'!G50))</f>
        <v/>
      </c>
      <c r="J453" s="28" t="str">
        <f aca="false">IF($A453="","",IF('3-Turizm İşletmeciliği'!H50="","",'3-Turizm İşletmeciliği'!H50))</f>
        <v/>
      </c>
      <c r="K453" s="28" t="str">
        <f aca="false">IF($A453="","",IF('3-Turizm İşletmeciliği'!I50="","",'3-Turizm İşletmeciliği'!I50))</f>
        <v/>
      </c>
      <c r="L453" s="28" t="str">
        <f aca="false">IF($I453="","",MATCH($I453,{"08.00";"09.00";"10.00";"11.00";"12.00";"13.00";"14.00";"15.00";"16.00";"17.00"},0))</f>
        <v/>
      </c>
      <c r="M453" s="28" t="str">
        <f aca="false">IF(OR($L453="",$J453=""),"",$L453+$J453-1)</f>
        <v/>
      </c>
      <c r="N453" s="28" t="str">
        <f aca="false">IF($A453="","",IF(OR($L453="",$M453=""),"",IF($M453&gt;10,"⚠ Saat Taşıyor","")))</f>
        <v/>
      </c>
      <c r="O453" s="28" t="str">
        <f aca="false">IF($A453="","",IF(OR($G453="",$H453="",$L453=""),"",IF(SUMPRODUCT(($A$7:$A$606&lt;&gt;"")*($G$7:$G$606=$G453)*($H$7:$H$606=$H453)*(ROW($A$7:$A$606)&lt;&gt;453)*($L$7:$L$606&lt;=$M453)*($M$7:$M$606&gt;=$L453))&gt;0,"⚠ Çakışma","OK")))</f>
        <v/>
      </c>
      <c r="P453" s="28" t="str">
        <f aca="false">IF($A453="","",IF(OR($K453="",$H453="",$L453=""),"",IF(SUMPRODUCT(($A$7:$A$606&lt;&gt;"")*($K$7:$K$606=$K453)*($H$7:$H$606=$H453)*(ROW($A$7:$A$606)&lt;&gt;453)*($L$7:$L$606&lt;=$M453)*($M$7:$M$606&gt;=$L453))&gt;0,"⚠ Çakışma","OK")))</f>
        <v/>
      </c>
      <c r="Q453" s="28" t="str">
        <f aca="false">IF($A453="","",IF(OR($E453="",$H453="",$L453=""),"",IF(SUMPRODUCT(($A$7:$A$606&lt;&gt;"")*($E$7:$E$606=$E453)*($H$7:$H$606=$H453)*(ROW($A$7:$A$606)&lt;&gt;453)*($L$7:$L$606&lt;=$M453)*($M$7:$M$606&gt;=$L453))&gt;0,"⚠ Çakışma","OK")))</f>
        <v/>
      </c>
      <c r="R453" s="28" t="str">
        <f aca="false">IF($A453="","",IF(OR($N453&lt;&gt;"",$O453="⚠ Çakışma",$P453="⚠ Çakışma",$Q453="⚠ Çakışma"),"⚠ Kontrol Et","✓ Uygun"))</f>
        <v/>
      </c>
    </row>
    <row r="454" customFormat="false" ht="13.5" hidden="false" customHeight="true" outlineLevel="0" collapsed="false">
      <c r="A454" s="28" t="str">
        <f aca="false">IF('3-Turizm İşletmeciliği'!A51="","","Turizm İşletmeciliği")</f>
        <v/>
      </c>
      <c r="B454" s="28" t="str">
        <f aca="false">IF($A454="","",IF('3-Turizm İşletmeciliği'!A51="","",'3-Turizm İşletmeciliği'!A51))</f>
        <v/>
      </c>
      <c r="C454" s="29" t="str">
        <f aca="false">IF($A454="","",IF('3-Turizm İşletmeciliği'!B51="","",'3-Turizm İşletmeciliği'!B51))</f>
        <v/>
      </c>
      <c r="D454" s="28" t="str">
        <f aca="false">IF($A454="","",IF('3-Turizm İşletmeciliği'!C51="","",'3-Turizm İşletmeciliği'!C51))</f>
        <v/>
      </c>
      <c r="E454" s="28" t="str">
        <f aca="false">IF($A454="","",$A454&amp;"-"&amp;$D454)</f>
        <v/>
      </c>
      <c r="F454" s="28" t="str">
        <f aca="false">IF($A454="","",IF('3-Turizm İşletmeciliği'!D51="","",'3-Turizm İşletmeciliği'!D51))</f>
        <v/>
      </c>
      <c r="G454" s="28" t="str">
        <f aca="false">IF($A454="","",IF('3-Turizm İşletmeciliği'!E51="","",'3-Turizm İşletmeciliği'!E51))</f>
        <v/>
      </c>
      <c r="H454" s="28" t="str">
        <f aca="false">IF($A454="","",IF('3-Turizm İşletmeciliği'!F51="","",'3-Turizm İşletmeciliği'!F51))</f>
        <v/>
      </c>
      <c r="I454" s="28" t="str">
        <f aca="false">IF($A454="","",IF('3-Turizm İşletmeciliği'!G51="","",'3-Turizm İşletmeciliği'!G51))</f>
        <v/>
      </c>
      <c r="J454" s="28" t="str">
        <f aca="false">IF($A454="","",IF('3-Turizm İşletmeciliği'!H51="","",'3-Turizm İşletmeciliği'!H51))</f>
        <v/>
      </c>
      <c r="K454" s="28" t="str">
        <f aca="false">IF($A454="","",IF('3-Turizm İşletmeciliği'!I51="","",'3-Turizm İşletmeciliği'!I51))</f>
        <v/>
      </c>
      <c r="L454" s="28" t="str">
        <f aca="false">IF($I454="","",MATCH($I454,{"08.00";"09.00";"10.00";"11.00";"12.00";"13.00";"14.00";"15.00";"16.00";"17.00"},0))</f>
        <v/>
      </c>
      <c r="M454" s="28" t="str">
        <f aca="false">IF(OR($L454="",$J454=""),"",$L454+$J454-1)</f>
        <v/>
      </c>
      <c r="N454" s="28" t="str">
        <f aca="false">IF($A454="","",IF(OR($L454="",$M454=""),"",IF($M454&gt;10,"⚠ Saat Taşıyor","")))</f>
        <v/>
      </c>
      <c r="O454" s="28" t="str">
        <f aca="false">IF($A454="","",IF(OR($G454="",$H454="",$L454=""),"",IF(SUMPRODUCT(($A$7:$A$606&lt;&gt;"")*($G$7:$G$606=$G454)*($H$7:$H$606=$H454)*(ROW($A$7:$A$606)&lt;&gt;454)*($L$7:$L$606&lt;=$M454)*($M$7:$M$606&gt;=$L454))&gt;0,"⚠ Çakışma","OK")))</f>
        <v/>
      </c>
      <c r="P454" s="28" t="str">
        <f aca="false">IF($A454="","",IF(OR($K454="",$H454="",$L454=""),"",IF(SUMPRODUCT(($A$7:$A$606&lt;&gt;"")*($K$7:$K$606=$K454)*($H$7:$H$606=$H454)*(ROW($A$7:$A$606)&lt;&gt;454)*($L$7:$L$606&lt;=$M454)*($M$7:$M$606&gt;=$L454))&gt;0,"⚠ Çakışma","OK")))</f>
        <v/>
      </c>
      <c r="Q454" s="28" t="str">
        <f aca="false">IF($A454="","",IF(OR($E454="",$H454="",$L454=""),"",IF(SUMPRODUCT(($A$7:$A$606&lt;&gt;"")*($E$7:$E$606=$E454)*($H$7:$H$606=$H454)*(ROW($A$7:$A$606)&lt;&gt;454)*($L$7:$L$606&lt;=$M454)*($M$7:$M$606&gt;=$L454))&gt;0,"⚠ Çakışma","OK")))</f>
        <v/>
      </c>
      <c r="R454" s="28" t="str">
        <f aca="false">IF($A454="","",IF(OR($N454&lt;&gt;"",$O454="⚠ Çakışma",$P454="⚠ Çakışma",$Q454="⚠ Çakışma"),"⚠ Kontrol Et","✓ Uygun"))</f>
        <v/>
      </c>
    </row>
    <row r="455" customFormat="false" ht="13.5" hidden="false" customHeight="true" outlineLevel="0" collapsed="false">
      <c r="A455" s="28" t="str">
        <f aca="false">IF('3-Turizm İşletmeciliği'!A52="","","Turizm İşletmeciliği")</f>
        <v/>
      </c>
      <c r="B455" s="28" t="str">
        <f aca="false">IF($A455="","",IF('3-Turizm İşletmeciliği'!A52="","",'3-Turizm İşletmeciliği'!A52))</f>
        <v/>
      </c>
      <c r="C455" s="29" t="str">
        <f aca="false">IF($A455="","",IF('3-Turizm İşletmeciliği'!B52="","",'3-Turizm İşletmeciliği'!B52))</f>
        <v/>
      </c>
      <c r="D455" s="28" t="str">
        <f aca="false">IF($A455="","",IF('3-Turizm İşletmeciliği'!C52="","",'3-Turizm İşletmeciliği'!C52))</f>
        <v/>
      </c>
      <c r="E455" s="28" t="str">
        <f aca="false">IF($A455="","",$A455&amp;"-"&amp;$D455)</f>
        <v/>
      </c>
      <c r="F455" s="28" t="str">
        <f aca="false">IF($A455="","",IF('3-Turizm İşletmeciliği'!D52="","",'3-Turizm İşletmeciliği'!D52))</f>
        <v/>
      </c>
      <c r="G455" s="28" t="str">
        <f aca="false">IF($A455="","",IF('3-Turizm İşletmeciliği'!E52="","",'3-Turizm İşletmeciliği'!E52))</f>
        <v/>
      </c>
      <c r="H455" s="28" t="str">
        <f aca="false">IF($A455="","",IF('3-Turizm İşletmeciliği'!F52="","",'3-Turizm İşletmeciliği'!F52))</f>
        <v/>
      </c>
      <c r="I455" s="28" t="str">
        <f aca="false">IF($A455="","",IF('3-Turizm İşletmeciliği'!G52="","",'3-Turizm İşletmeciliği'!G52))</f>
        <v/>
      </c>
      <c r="J455" s="28" t="str">
        <f aca="false">IF($A455="","",IF('3-Turizm İşletmeciliği'!H52="","",'3-Turizm İşletmeciliği'!H52))</f>
        <v/>
      </c>
      <c r="K455" s="28" t="str">
        <f aca="false">IF($A455="","",IF('3-Turizm İşletmeciliği'!I52="","",'3-Turizm İşletmeciliği'!I52))</f>
        <v/>
      </c>
      <c r="L455" s="28" t="str">
        <f aca="false">IF($I455="","",MATCH($I455,{"08.00";"09.00";"10.00";"11.00";"12.00";"13.00";"14.00";"15.00";"16.00";"17.00"},0))</f>
        <v/>
      </c>
      <c r="M455" s="28" t="str">
        <f aca="false">IF(OR($L455="",$J455=""),"",$L455+$J455-1)</f>
        <v/>
      </c>
      <c r="N455" s="28" t="str">
        <f aca="false">IF($A455="","",IF(OR($L455="",$M455=""),"",IF($M455&gt;10,"⚠ Saat Taşıyor","")))</f>
        <v/>
      </c>
      <c r="O455" s="28" t="str">
        <f aca="false">IF($A455="","",IF(OR($G455="",$H455="",$L455=""),"",IF(SUMPRODUCT(($A$7:$A$606&lt;&gt;"")*($G$7:$G$606=$G455)*($H$7:$H$606=$H455)*(ROW($A$7:$A$606)&lt;&gt;455)*($L$7:$L$606&lt;=$M455)*($M$7:$M$606&gt;=$L455))&gt;0,"⚠ Çakışma","OK")))</f>
        <v/>
      </c>
      <c r="P455" s="28" t="str">
        <f aca="false">IF($A455="","",IF(OR($K455="",$H455="",$L455=""),"",IF(SUMPRODUCT(($A$7:$A$606&lt;&gt;"")*($K$7:$K$606=$K455)*($H$7:$H$606=$H455)*(ROW($A$7:$A$606)&lt;&gt;455)*($L$7:$L$606&lt;=$M455)*($M$7:$M$606&gt;=$L455))&gt;0,"⚠ Çakışma","OK")))</f>
        <v/>
      </c>
      <c r="Q455" s="28" t="str">
        <f aca="false">IF($A455="","",IF(OR($E455="",$H455="",$L455=""),"",IF(SUMPRODUCT(($A$7:$A$606&lt;&gt;"")*($E$7:$E$606=$E455)*($H$7:$H$606=$H455)*(ROW($A$7:$A$606)&lt;&gt;455)*($L$7:$L$606&lt;=$M455)*($M$7:$M$606&gt;=$L455))&gt;0,"⚠ Çakışma","OK")))</f>
        <v/>
      </c>
      <c r="R455" s="28" t="str">
        <f aca="false">IF($A455="","",IF(OR($N455&lt;&gt;"",$O455="⚠ Çakışma",$P455="⚠ Çakışma",$Q455="⚠ Çakışma"),"⚠ Kontrol Et","✓ Uygun"))</f>
        <v/>
      </c>
    </row>
    <row r="456" customFormat="false" ht="13.5" hidden="false" customHeight="true" outlineLevel="0" collapsed="false">
      <c r="A456" s="28" t="str">
        <f aca="false">IF('3-Turizm İşletmeciliği'!A53="","","Turizm İşletmeciliği")</f>
        <v/>
      </c>
      <c r="B456" s="28" t="str">
        <f aca="false">IF($A456="","",IF('3-Turizm İşletmeciliği'!A53="","",'3-Turizm İşletmeciliği'!A53))</f>
        <v/>
      </c>
      <c r="C456" s="29" t="str">
        <f aca="false">IF($A456="","",IF('3-Turizm İşletmeciliği'!B53="","",'3-Turizm İşletmeciliği'!B53))</f>
        <v/>
      </c>
      <c r="D456" s="28" t="str">
        <f aca="false">IF($A456="","",IF('3-Turizm İşletmeciliği'!C53="","",'3-Turizm İşletmeciliği'!C53))</f>
        <v/>
      </c>
      <c r="E456" s="28" t="str">
        <f aca="false">IF($A456="","",$A456&amp;"-"&amp;$D456)</f>
        <v/>
      </c>
      <c r="F456" s="28" t="str">
        <f aca="false">IF($A456="","",IF('3-Turizm İşletmeciliği'!D53="","",'3-Turizm İşletmeciliği'!D53))</f>
        <v/>
      </c>
      <c r="G456" s="28" t="str">
        <f aca="false">IF($A456="","",IF('3-Turizm İşletmeciliği'!E53="","",'3-Turizm İşletmeciliği'!E53))</f>
        <v/>
      </c>
      <c r="H456" s="28" t="str">
        <f aca="false">IF($A456="","",IF('3-Turizm İşletmeciliği'!F53="","",'3-Turizm İşletmeciliği'!F53))</f>
        <v/>
      </c>
      <c r="I456" s="28" t="str">
        <f aca="false">IF($A456="","",IF('3-Turizm İşletmeciliği'!G53="","",'3-Turizm İşletmeciliği'!G53))</f>
        <v/>
      </c>
      <c r="J456" s="28" t="str">
        <f aca="false">IF($A456="","",IF('3-Turizm İşletmeciliği'!H53="","",'3-Turizm İşletmeciliği'!H53))</f>
        <v/>
      </c>
      <c r="K456" s="28" t="str">
        <f aca="false">IF($A456="","",IF('3-Turizm İşletmeciliği'!I53="","",'3-Turizm İşletmeciliği'!I53))</f>
        <v/>
      </c>
      <c r="L456" s="28" t="str">
        <f aca="false">IF($I456="","",MATCH($I456,{"08.00";"09.00";"10.00";"11.00";"12.00";"13.00";"14.00";"15.00";"16.00";"17.00"},0))</f>
        <v/>
      </c>
      <c r="M456" s="28" t="str">
        <f aca="false">IF(OR($L456="",$J456=""),"",$L456+$J456-1)</f>
        <v/>
      </c>
      <c r="N456" s="28" t="str">
        <f aca="false">IF($A456="","",IF(OR($L456="",$M456=""),"",IF($M456&gt;10,"⚠ Saat Taşıyor","")))</f>
        <v/>
      </c>
      <c r="O456" s="28" t="str">
        <f aca="false">IF($A456="","",IF(OR($G456="",$H456="",$L456=""),"",IF(SUMPRODUCT(($A$7:$A$606&lt;&gt;"")*($G$7:$G$606=$G456)*($H$7:$H$606=$H456)*(ROW($A$7:$A$606)&lt;&gt;456)*($L$7:$L$606&lt;=$M456)*($M$7:$M$606&gt;=$L456))&gt;0,"⚠ Çakışma","OK")))</f>
        <v/>
      </c>
      <c r="P456" s="28" t="str">
        <f aca="false">IF($A456="","",IF(OR($K456="",$H456="",$L456=""),"",IF(SUMPRODUCT(($A$7:$A$606&lt;&gt;"")*($K$7:$K$606=$K456)*($H$7:$H$606=$H456)*(ROW($A$7:$A$606)&lt;&gt;456)*($L$7:$L$606&lt;=$M456)*($M$7:$M$606&gt;=$L456))&gt;0,"⚠ Çakışma","OK")))</f>
        <v/>
      </c>
      <c r="Q456" s="28" t="str">
        <f aca="false">IF($A456="","",IF(OR($E456="",$H456="",$L456=""),"",IF(SUMPRODUCT(($A$7:$A$606&lt;&gt;"")*($E$7:$E$606=$E456)*($H$7:$H$606=$H456)*(ROW($A$7:$A$606)&lt;&gt;456)*($L$7:$L$606&lt;=$M456)*($M$7:$M$606&gt;=$L456))&gt;0,"⚠ Çakışma","OK")))</f>
        <v/>
      </c>
      <c r="R456" s="28" t="str">
        <f aca="false">IF($A456="","",IF(OR($N456&lt;&gt;"",$O456="⚠ Çakışma",$P456="⚠ Çakışma",$Q456="⚠ Çakışma"),"⚠ Kontrol Et","✓ Uygun"))</f>
        <v/>
      </c>
    </row>
    <row r="457" customFormat="false" ht="13.5" hidden="false" customHeight="true" outlineLevel="0" collapsed="false">
      <c r="A457" s="28" t="str">
        <f aca="false">IF('3-Turizm İşletmeciliği'!A54="","","Turizm İşletmeciliği")</f>
        <v/>
      </c>
      <c r="B457" s="28" t="str">
        <f aca="false">IF($A457="","",IF('3-Turizm İşletmeciliği'!A54="","",'3-Turizm İşletmeciliği'!A54))</f>
        <v/>
      </c>
      <c r="C457" s="29" t="str">
        <f aca="false">IF($A457="","",IF('3-Turizm İşletmeciliği'!B54="","",'3-Turizm İşletmeciliği'!B54))</f>
        <v/>
      </c>
      <c r="D457" s="28" t="str">
        <f aca="false">IF($A457="","",IF('3-Turizm İşletmeciliği'!C54="","",'3-Turizm İşletmeciliği'!C54))</f>
        <v/>
      </c>
      <c r="E457" s="28" t="str">
        <f aca="false">IF($A457="","",$A457&amp;"-"&amp;$D457)</f>
        <v/>
      </c>
      <c r="F457" s="28" t="str">
        <f aca="false">IF($A457="","",IF('3-Turizm İşletmeciliği'!D54="","",'3-Turizm İşletmeciliği'!D54))</f>
        <v/>
      </c>
      <c r="G457" s="28" t="str">
        <f aca="false">IF($A457="","",IF('3-Turizm İşletmeciliği'!E54="","",'3-Turizm İşletmeciliği'!E54))</f>
        <v/>
      </c>
      <c r="H457" s="28" t="str">
        <f aca="false">IF($A457="","",IF('3-Turizm İşletmeciliği'!F54="","",'3-Turizm İşletmeciliği'!F54))</f>
        <v/>
      </c>
      <c r="I457" s="28" t="str">
        <f aca="false">IF($A457="","",IF('3-Turizm İşletmeciliği'!G54="","",'3-Turizm İşletmeciliği'!G54))</f>
        <v/>
      </c>
      <c r="J457" s="28" t="str">
        <f aca="false">IF($A457="","",IF('3-Turizm İşletmeciliği'!H54="","",'3-Turizm İşletmeciliği'!H54))</f>
        <v/>
      </c>
      <c r="K457" s="28" t="str">
        <f aca="false">IF($A457="","",IF('3-Turizm İşletmeciliği'!I54="","",'3-Turizm İşletmeciliği'!I54))</f>
        <v/>
      </c>
      <c r="L457" s="28" t="str">
        <f aca="false">IF($I457="","",MATCH($I457,{"08.00";"09.00";"10.00";"11.00";"12.00";"13.00";"14.00";"15.00";"16.00";"17.00"},0))</f>
        <v/>
      </c>
      <c r="M457" s="28" t="str">
        <f aca="false">IF(OR($L457="",$J457=""),"",$L457+$J457-1)</f>
        <v/>
      </c>
      <c r="N457" s="28" t="str">
        <f aca="false">IF($A457="","",IF(OR($L457="",$M457=""),"",IF($M457&gt;10,"⚠ Saat Taşıyor","")))</f>
        <v/>
      </c>
      <c r="O457" s="28" t="str">
        <f aca="false">IF($A457="","",IF(OR($G457="",$H457="",$L457=""),"",IF(SUMPRODUCT(($A$7:$A$606&lt;&gt;"")*($G$7:$G$606=$G457)*($H$7:$H$606=$H457)*(ROW($A$7:$A$606)&lt;&gt;457)*($L$7:$L$606&lt;=$M457)*($M$7:$M$606&gt;=$L457))&gt;0,"⚠ Çakışma","OK")))</f>
        <v/>
      </c>
      <c r="P457" s="28" t="str">
        <f aca="false">IF($A457="","",IF(OR($K457="",$H457="",$L457=""),"",IF(SUMPRODUCT(($A$7:$A$606&lt;&gt;"")*($K$7:$K$606=$K457)*($H$7:$H$606=$H457)*(ROW($A$7:$A$606)&lt;&gt;457)*($L$7:$L$606&lt;=$M457)*($M$7:$M$606&gt;=$L457))&gt;0,"⚠ Çakışma","OK")))</f>
        <v/>
      </c>
      <c r="Q457" s="28" t="str">
        <f aca="false">IF($A457="","",IF(OR($E457="",$H457="",$L457=""),"",IF(SUMPRODUCT(($A$7:$A$606&lt;&gt;"")*($E$7:$E$606=$E457)*($H$7:$H$606=$H457)*(ROW($A$7:$A$606)&lt;&gt;457)*($L$7:$L$606&lt;=$M457)*($M$7:$M$606&gt;=$L457))&gt;0,"⚠ Çakışma","OK")))</f>
        <v/>
      </c>
      <c r="R457" s="28" t="str">
        <f aca="false">IF($A457="","",IF(OR($N457&lt;&gt;"",$O457="⚠ Çakışma",$P457="⚠ Çakışma",$Q457="⚠ Çakışma"),"⚠ Kontrol Et","✓ Uygun"))</f>
        <v/>
      </c>
    </row>
    <row r="458" customFormat="false" ht="13.5" hidden="false" customHeight="true" outlineLevel="0" collapsed="false">
      <c r="A458" s="28" t="str">
        <f aca="false">IF('3-Turizm İşletmeciliği'!A55="","","Turizm İşletmeciliği")</f>
        <v/>
      </c>
      <c r="B458" s="28" t="str">
        <f aca="false">IF($A458="","",IF('3-Turizm İşletmeciliği'!A55="","",'3-Turizm İşletmeciliği'!A55))</f>
        <v/>
      </c>
      <c r="C458" s="29" t="str">
        <f aca="false">IF($A458="","",IF('3-Turizm İşletmeciliği'!B55="","",'3-Turizm İşletmeciliği'!B55))</f>
        <v/>
      </c>
      <c r="D458" s="28" t="str">
        <f aca="false">IF($A458="","",IF('3-Turizm İşletmeciliği'!C55="","",'3-Turizm İşletmeciliği'!C55))</f>
        <v/>
      </c>
      <c r="E458" s="28" t="str">
        <f aca="false">IF($A458="","",$A458&amp;"-"&amp;$D458)</f>
        <v/>
      </c>
      <c r="F458" s="28" t="str">
        <f aca="false">IF($A458="","",IF('3-Turizm İşletmeciliği'!D55="","",'3-Turizm İşletmeciliği'!D55))</f>
        <v/>
      </c>
      <c r="G458" s="28" t="str">
        <f aca="false">IF($A458="","",IF('3-Turizm İşletmeciliği'!E55="","",'3-Turizm İşletmeciliği'!E55))</f>
        <v/>
      </c>
      <c r="H458" s="28" t="str">
        <f aca="false">IF($A458="","",IF('3-Turizm İşletmeciliği'!F55="","",'3-Turizm İşletmeciliği'!F55))</f>
        <v/>
      </c>
      <c r="I458" s="28" t="str">
        <f aca="false">IF($A458="","",IF('3-Turizm İşletmeciliği'!G55="","",'3-Turizm İşletmeciliği'!G55))</f>
        <v/>
      </c>
      <c r="J458" s="28" t="str">
        <f aca="false">IF($A458="","",IF('3-Turizm İşletmeciliği'!H55="","",'3-Turizm İşletmeciliği'!H55))</f>
        <v/>
      </c>
      <c r="K458" s="28" t="str">
        <f aca="false">IF($A458="","",IF('3-Turizm İşletmeciliği'!I55="","",'3-Turizm İşletmeciliği'!I55))</f>
        <v/>
      </c>
      <c r="L458" s="28" t="str">
        <f aca="false">IF($I458="","",MATCH($I458,{"08.00";"09.00";"10.00";"11.00";"12.00";"13.00";"14.00";"15.00";"16.00";"17.00"},0))</f>
        <v/>
      </c>
      <c r="M458" s="28" t="str">
        <f aca="false">IF(OR($L458="",$J458=""),"",$L458+$J458-1)</f>
        <v/>
      </c>
      <c r="N458" s="28" t="str">
        <f aca="false">IF($A458="","",IF(OR($L458="",$M458=""),"",IF($M458&gt;10,"⚠ Saat Taşıyor","")))</f>
        <v/>
      </c>
      <c r="O458" s="28" t="str">
        <f aca="false">IF($A458="","",IF(OR($G458="",$H458="",$L458=""),"",IF(SUMPRODUCT(($A$7:$A$606&lt;&gt;"")*($G$7:$G$606=$G458)*($H$7:$H$606=$H458)*(ROW($A$7:$A$606)&lt;&gt;458)*($L$7:$L$606&lt;=$M458)*($M$7:$M$606&gt;=$L458))&gt;0,"⚠ Çakışma","OK")))</f>
        <v/>
      </c>
      <c r="P458" s="28" t="str">
        <f aca="false">IF($A458="","",IF(OR($K458="",$H458="",$L458=""),"",IF(SUMPRODUCT(($A$7:$A$606&lt;&gt;"")*($K$7:$K$606=$K458)*($H$7:$H$606=$H458)*(ROW($A$7:$A$606)&lt;&gt;458)*($L$7:$L$606&lt;=$M458)*($M$7:$M$606&gt;=$L458))&gt;0,"⚠ Çakışma","OK")))</f>
        <v/>
      </c>
      <c r="Q458" s="28" t="str">
        <f aca="false">IF($A458="","",IF(OR($E458="",$H458="",$L458=""),"",IF(SUMPRODUCT(($A$7:$A$606&lt;&gt;"")*($E$7:$E$606=$E458)*($H$7:$H$606=$H458)*(ROW($A$7:$A$606)&lt;&gt;458)*($L$7:$L$606&lt;=$M458)*($M$7:$M$606&gt;=$L458))&gt;0,"⚠ Çakışma","OK")))</f>
        <v/>
      </c>
      <c r="R458" s="28" t="str">
        <f aca="false">IF($A458="","",IF(OR($N458&lt;&gt;"",$O458="⚠ Çakışma",$P458="⚠ Çakışma",$Q458="⚠ Çakışma"),"⚠ Kontrol Et","✓ Uygun"))</f>
        <v/>
      </c>
    </row>
    <row r="459" customFormat="false" ht="13.5" hidden="false" customHeight="true" outlineLevel="0" collapsed="false">
      <c r="A459" s="28" t="str">
        <f aca="false">IF('3-Turizm İşletmeciliği'!A56="","","Turizm İşletmeciliği")</f>
        <v/>
      </c>
      <c r="B459" s="28" t="str">
        <f aca="false">IF($A459="","",IF('3-Turizm İşletmeciliği'!A56="","",'3-Turizm İşletmeciliği'!A56))</f>
        <v/>
      </c>
      <c r="C459" s="29" t="str">
        <f aca="false">IF($A459="","",IF('3-Turizm İşletmeciliği'!B56="","",'3-Turizm İşletmeciliği'!B56))</f>
        <v/>
      </c>
      <c r="D459" s="28" t="str">
        <f aca="false">IF($A459="","",IF('3-Turizm İşletmeciliği'!C56="","",'3-Turizm İşletmeciliği'!C56))</f>
        <v/>
      </c>
      <c r="E459" s="28" t="str">
        <f aca="false">IF($A459="","",$A459&amp;"-"&amp;$D459)</f>
        <v/>
      </c>
      <c r="F459" s="28" t="str">
        <f aca="false">IF($A459="","",IF('3-Turizm İşletmeciliği'!D56="","",'3-Turizm İşletmeciliği'!D56))</f>
        <v/>
      </c>
      <c r="G459" s="28" t="str">
        <f aca="false">IF($A459="","",IF('3-Turizm İşletmeciliği'!E56="","",'3-Turizm İşletmeciliği'!E56))</f>
        <v/>
      </c>
      <c r="H459" s="28" t="str">
        <f aca="false">IF($A459="","",IF('3-Turizm İşletmeciliği'!F56="","",'3-Turizm İşletmeciliği'!F56))</f>
        <v/>
      </c>
      <c r="I459" s="28" t="str">
        <f aca="false">IF($A459="","",IF('3-Turizm İşletmeciliği'!G56="","",'3-Turizm İşletmeciliği'!G56))</f>
        <v/>
      </c>
      <c r="J459" s="28" t="str">
        <f aca="false">IF($A459="","",IF('3-Turizm İşletmeciliği'!H56="","",'3-Turizm İşletmeciliği'!H56))</f>
        <v/>
      </c>
      <c r="K459" s="28" t="str">
        <f aca="false">IF($A459="","",IF('3-Turizm İşletmeciliği'!I56="","",'3-Turizm İşletmeciliği'!I56))</f>
        <v/>
      </c>
      <c r="L459" s="28" t="str">
        <f aca="false">IF($I459="","",MATCH($I459,{"08.00";"09.00";"10.00";"11.00";"12.00";"13.00";"14.00";"15.00";"16.00";"17.00"},0))</f>
        <v/>
      </c>
      <c r="M459" s="28" t="str">
        <f aca="false">IF(OR($L459="",$J459=""),"",$L459+$J459-1)</f>
        <v/>
      </c>
      <c r="N459" s="28" t="str">
        <f aca="false">IF($A459="","",IF(OR($L459="",$M459=""),"",IF($M459&gt;10,"⚠ Saat Taşıyor","")))</f>
        <v/>
      </c>
      <c r="O459" s="28" t="str">
        <f aca="false">IF($A459="","",IF(OR($G459="",$H459="",$L459=""),"",IF(SUMPRODUCT(($A$7:$A$606&lt;&gt;"")*($G$7:$G$606=$G459)*($H$7:$H$606=$H459)*(ROW($A$7:$A$606)&lt;&gt;459)*($L$7:$L$606&lt;=$M459)*($M$7:$M$606&gt;=$L459))&gt;0,"⚠ Çakışma","OK")))</f>
        <v/>
      </c>
      <c r="P459" s="28" t="str">
        <f aca="false">IF($A459="","",IF(OR($K459="",$H459="",$L459=""),"",IF(SUMPRODUCT(($A$7:$A$606&lt;&gt;"")*($K$7:$K$606=$K459)*($H$7:$H$606=$H459)*(ROW($A$7:$A$606)&lt;&gt;459)*($L$7:$L$606&lt;=$M459)*($M$7:$M$606&gt;=$L459))&gt;0,"⚠ Çakışma","OK")))</f>
        <v/>
      </c>
      <c r="Q459" s="28" t="str">
        <f aca="false">IF($A459="","",IF(OR($E459="",$H459="",$L459=""),"",IF(SUMPRODUCT(($A$7:$A$606&lt;&gt;"")*($E$7:$E$606=$E459)*($H$7:$H$606=$H459)*(ROW($A$7:$A$606)&lt;&gt;459)*($L$7:$L$606&lt;=$M459)*($M$7:$M$606&gt;=$L459))&gt;0,"⚠ Çakışma","OK")))</f>
        <v/>
      </c>
      <c r="R459" s="28" t="str">
        <f aca="false">IF($A459="","",IF(OR($N459&lt;&gt;"",$O459="⚠ Çakışma",$P459="⚠ Çakışma",$Q459="⚠ Çakışma"),"⚠ Kontrol Et","✓ Uygun"))</f>
        <v/>
      </c>
    </row>
    <row r="460" customFormat="false" ht="13.5" hidden="false" customHeight="true" outlineLevel="0" collapsed="false">
      <c r="A460" s="28" t="str">
        <f aca="false">IF('3-Turizm İşletmeciliği'!A57="","","Turizm İşletmeciliği")</f>
        <v/>
      </c>
      <c r="B460" s="28" t="str">
        <f aca="false">IF($A460="","",IF('3-Turizm İşletmeciliği'!A57="","",'3-Turizm İşletmeciliği'!A57))</f>
        <v/>
      </c>
      <c r="C460" s="29" t="str">
        <f aca="false">IF($A460="","",IF('3-Turizm İşletmeciliği'!B57="","",'3-Turizm İşletmeciliği'!B57))</f>
        <v/>
      </c>
      <c r="D460" s="28" t="str">
        <f aca="false">IF($A460="","",IF('3-Turizm İşletmeciliği'!C57="","",'3-Turizm İşletmeciliği'!C57))</f>
        <v/>
      </c>
      <c r="E460" s="28" t="str">
        <f aca="false">IF($A460="","",$A460&amp;"-"&amp;$D460)</f>
        <v/>
      </c>
      <c r="F460" s="28" t="str">
        <f aca="false">IF($A460="","",IF('3-Turizm İşletmeciliği'!D57="","",'3-Turizm İşletmeciliği'!D57))</f>
        <v/>
      </c>
      <c r="G460" s="28" t="str">
        <f aca="false">IF($A460="","",IF('3-Turizm İşletmeciliği'!E57="","",'3-Turizm İşletmeciliği'!E57))</f>
        <v/>
      </c>
      <c r="H460" s="28" t="str">
        <f aca="false">IF($A460="","",IF('3-Turizm İşletmeciliği'!F57="","",'3-Turizm İşletmeciliği'!F57))</f>
        <v/>
      </c>
      <c r="I460" s="28" t="str">
        <f aca="false">IF($A460="","",IF('3-Turizm İşletmeciliği'!G57="","",'3-Turizm İşletmeciliği'!G57))</f>
        <v/>
      </c>
      <c r="J460" s="28" t="str">
        <f aca="false">IF($A460="","",IF('3-Turizm İşletmeciliği'!H57="","",'3-Turizm İşletmeciliği'!H57))</f>
        <v/>
      </c>
      <c r="K460" s="28" t="str">
        <f aca="false">IF($A460="","",IF('3-Turizm İşletmeciliği'!I57="","",'3-Turizm İşletmeciliği'!I57))</f>
        <v/>
      </c>
      <c r="L460" s="28" t="str">
        <f aca="false">IF($I460="","",MATCH($I460,{"08.00";"09.00";"10.00";"11.00";"12.00";"13.00";"14.00";"15.00";"16.00";"17.00"},0))</f>
        <v/>
      </c>
      <c r="M460" s="28" t="str">
        <f aca="false">IF(OR($L460="",$J460=""),"",$L460+$J460-1)</f>
        <v/>
      </c>
      <c r="N460" s="28" t="str">
        <f aca="false">IF($A460="","",IF(OR($L460="",$M460=""),"",IF($M460&gt;10,"⚠ Saat Taşıyor","")))</f>
        <v/>
      </c>
      <c r="O460" s="28" t="str">
        <f aca="false">IF($A460="","",IF(OR($G460="",$H460="",$L460=""),"",IF(SUMPRODUCT(($A$7:$A$606&lt;&gt;"")*($G$7:$G$606=$G460)*($H$7:$H$606=$H460)*(ROW($A$7:$A$606)&lt;&gt;460)*($L$7:$L$606&lt;=$M460)*($M$7:$M$606&gt;=$L460))&gt;0,"⚠ Çakışma","OK")))</f>
        <v/>
      </c>
      <c r="P460" s="28" t="str">
        <f aca="false">IF($A460="","",IF(OR($K460="",$H460="",$L460=""),"",IF(SUMPRODUCT(($A$7:$A$606&lt;&gt;"")*($K$7:$K$606=$K460)*($H$7:$H$606=$H460)*(ROW($A$7:$A$606)&lt;&gt;460)*($L$7:$L$606&lt;=$M460)*($M$7:$M$606&gt;=$L460))&gt;0,"⚠ Çakışma","OK")))</f>
        <v/>
      </c>
      <c r="Q460" s="28" t="str">
        <f aca="false">IF($A460="","",IF(OR($E460="",$H460="",$L460=""),"",IF(SUMPRODUCT(($A$7:$A$606&lt;&gt;"")*($E$7:$E$606=$E460)*($H$7:$H$606=$H460)*(ROW($A$7:$A$606)&lt;&gt;460)*($L$7:$L$606&lt;=$M460)*($M$7:$M$606&gt;=$L460))&gt;0,"⚠ Çakışma","OK")))</f>
        <v/>
      </c>
      <c r="R460" s="28" t="str">
        <f aca="false">IF($A460="","",IF(OR($N460&lt;&gt;"",$O460="⚠ Çakışma",$P460="⚠ Çakışma",$Q460="⚠ Çakışma"),"⚠ Kontrol Et","✓ Uygun"))</f>
        <v/>
      </c>
    </row>
    <row r="461" customFormat="false" ht="13.5" hidden="false" customHeight="true" outlineLevel="0" collapsed="false">
      <c r="A461" s="28" t="str">
        <f aca="false">IF('3-Turizm İşletmeciliği'!A58="","","Turizm İşletmeciliği")</f>
        <v/>
      </c>
      <c r="B461" s="28" t="str">
        <f aca="false">IF($A461="","",IF('3-Turizm İşletmeciliği'!A58="","",'3-Turizm İşletmeciliği'!A58))</f>
        <v/>
      </c>
      <c r="C461" s="29" t="str">
        <f aca="false">IF($A461="","",IF('3-Turizm İşletmeciliği'!B58="","",'3-Turizm İşletmeciliği'!B58))</f>
        <v/>
      </c>
      <c r="D461" s="28" t="str">
        <f aca="false">IF($A461="","",IF('3-Turizm İşletmeciliği'!C58="","",'3-Turizm İşletmeciliği'!C58))</f>
        <v/>
      </c>
      <c r="E461" s="28" t="str">
        <f aca="false">IF($A461="","",$A461&amp;"-"&amp;$D461)</f>
        <v/>
      </c>
      <c r="F461" s="28" t="str">
        <f aca="false">IF($A461="","",IF('3-Turizm İşletmeciliği'!D58="","",'3-Turizm İşletmeciliği'!D58))</f>
        <v/>
      </c>
      <c r="G461" s="28" t="str">
        <f aca="false">IF($A461="","",IF('3-Turizm İşletmeciliği'!E58="","",'3-Turizm İşletmeciliği'!E58))</f>
        <v/>
      </c>
      <c r="H461" s="28" t="str">
        <f aca="false">IF($A461="","",IF('3-Turizm İşletmeciliği'!F58="","",'3-Turizm İşletmeciliği'!F58))</f>
        <v/>
      </c>
      <c r="I461" s="28" t="str">
        <f aca="false">IF($A461="","",IF('3-Turizm İşletmeciliği'!G58="","",'3-Turizm İşletmeciliği'!G58))</f>
        <v/>
      </c>
      <c r="J461" s="28" t="str">
        <f aca="false">IF($A461="","",IF('3-Turizm İşletmeciliği'!H58="","",'3-Turizm İşletmeciliği'!H58))</f>
        <v/>
      </c>
      <c r="K461" s="28" t="str">
        <f aca="false">IF($A461="","",IF('3-Turizm İşletmeciliği'!I58="","",'3-Turizm İşletmeciliği'!I58))</f>
        <v/>
      </c>
      <c r="L461" s="28" t="str">
        <f aca="false">IF($I461="","",MATCH($I461,{"08.00";"09.00";"10.00";"11.00";"12.00";"13.00";"14.00";"15.00";"16.00";"17.00"},0))</f>
        <v/>
      </c>
      <c r="M461" s="28" t="str">
        <f aca="false">IF(OR($L461="",$J461=""),"",$L461+$J461-1)</f>
        <v/>
      </c>
      <c r="N461" s="28" t="str">
        <f aca="false">IF($A461="","",IF(OR($L461="",$M461=""),"",IF($M461&gt;10,"⚠ Saat Taşıyor","")))</f>
        <v/>
      </c>
      <c r="O461" s="28" t="str">
        <f aca="false">IF($A461="","",IF(OR($G461="",$H461="",$L461=""),"",IF(SUMPRODUCT(($A$7:$A$606&lt;&gt;"")*($G$7:$G$606=$G461)*($H$7:$H$606=$H461)*(ROW($A$7:$A$606)&lt;&gt;461)*($L$7:$L$606&lt;=$M461)*($M$7:$M$606&gt;=$L461))&gt;0,"⚠ Çakışma","OK")))</f>
        <v/>
      </c>
      <c r="P461" s="28" t="str">
        <f aca="false">IF($A461="","",IF(OR($K461="",$H461="",$L461=""),"",IF(SUMPRODUCT(($A$7:$A$606&lt;&gt;"")*($K$7:$K$606=$K461)*($H$7:$H$606=$H461)*(ROW($A$7:$A$606)&lt;&gt;461)*($L$7:$L$606&lt;=$M461)*($M$7:$M$606&gt;=$L461))&gt;0,"⚠ Çakışma","OK")))</f>
        <v/>
      </c>
      <c r="Q461" s="28" t="str">
        <f aca="false">IF($A461="","",IF(OR($E461="",$H461="",$L461=""),"",IF(SUMPRODUCT(($A$7:$A$606&lt;&gt;"")*($E$7:$E$606=$E461)*($H$7:$H$606=$H461)*(ROW($A$7:$A$606)&lt;&gt;461)*($L$7:$L$606&lt;=$M461)*($M$7:$M$606&gt;=$L461))&gt;0,"⚠ Çakışma","OK")))</f>
        <v/>
      </c>
      <c r="R461" s="28" t="str">
        <f aca="false">IF($A461="","",IF(OR($N461&lt;&gt;"",$O461="⚠ Çakışma",$P461="⚠ Çakışma",$Q461="⚠ Çakışma"),"⚠ Kontrol Et","✓ Uygun"))</f>
        <v/>
      </c>
    </row>
    <row r="462" customFormat="false" ht="13.5" hidden="false" customHeight="true" outlineLevel="0" collapsed="false">
      <c r="A462" s="28" t="str">
        <f aca="false">IF('3-Turizm İşletmeciliği'!A59="","","Turizm İşletmeciliği")</f>
        <v/>
      </c>
      <c r="B462" s="28" t="str">
        <f aca="false">IF($A462="","",IF('3-Turizm İşletmeciliği'!A59="","",'3-Turizm İşletmeciliği'!A59))</f>
        <v/>
      </c>
      <c r="C462" s="29" t="str">
        <f aca="false">IF($A462="","",IF('3-Turizm İşletmeciliği'!B59="","",'3-Turizm İşletmeciliği'!B59))</f>
        <v/>
      </c>
      <c r="D462" s="28" t="str">
        <f aca="false">IF($A462="","",IF('3-Turizm İşletmeciliği'!C59="","",'3-Turizm İşletmeciliği'!C59))</f>
        <v/>
      </c>
      <c r="E462" s="28" t="str">
        <f aca="false">IF($A462="","",$A462&amp;"-"&amp;$D462)</f>
        <v/>
      </c>
      <c r="F462" s="28" t="str">
        <f aca="false">IF($A462="","",IF('3-Turizm İşletmeciliği'!D59="","",'3-Turizm İşletmeciliği'!D59))</f>
        <v/>
      </c>
      <c r="G462" s="28" t="str">
        <f aca="false">IF($A462="","",IF('3-Turizm İşletmeciliği'!E59="","",'3-Turizm İşletmeciliği'!E59))</f>
        <v/>
      </c>
      <c r="H462" s="28" t="str">
        <f aca="false">IF($A462="","",IF('3-Turizm İşletmeciliği'!F59="","",'3-Turizm İşletmeciliği'!F59))</f>
        <v/>
      </c>
      <c r="I462" s="28" t="str">
        <f aca="false">IF($A462="","",IF('3-Turizm İşletmeciliği'!G59="","",'3-Turizm İşletmeciliği'!G59))</f>
        <v/>
      </c>
      <c r="J462" s="28" t="str">
        <f aca="false">IF($A462="","",IF('3-Turizm İşletmeciliği'!H59="","",'3-Turizm İşletmeciliği'!H59))</f>
        <v/>
      </c>
      <c r="K462" s="28" t="str">
        <f aca="false">IF($A462="","",IF('3-Turizm İşletmeciliği'!I59="","",'3-Turizm İşletmeciliği'!I59))</f>
        <v/>
      </c>
      <c r="L462" s="28" t="str">
        <f aca="false">IF($I462="","",MATCH($I462,{"08.00";"09.00";"10.00";"11.00";"12.00";"13.00";"14.00";"15.00";"16.00";"17.00"},0))</f>
        <v/>
      </c>
      <c r="M462" s="28" t="str">
        <f aca="false">IF(OR($L462="",$J462=""),"",$L462+$J462-1)</f>
        <v/>
      </c>
      <c r="N462" s="28" t="str">
        <f aca="false">IF($A462="","",IF(OR($L462="",$M462=""),"",IF($M462&gt;10,"⚠ Saat Taşıyor","")))</f>
        <v/>
      </c>
      <c r="O462" s="28" t="str">
        <f aca="false">IF($A462="","",IF(OR($G462="",$H462="",$L462=""),"",IF(SUMPRODUCT(($A$7:$A$606&lt;&gt;"")*($G$7:$G$606=$G462)*($H$7:$H$606=$H462)*(ROW($A$7:$A$606)&lt;&gt;462)*($L$7:$L$606&lt;=$M462)*($M$7:$M$606&gt;=$L462))&gt;0,"⚠ Çakışma","OK")))</f>
        <v/>
      </c>
      <c r="P462" s="28" t="str">
        <f aca="false">IF($A462="","",IF(OR($K462="",$H462="",$L462=""),"",IF(SUMPRODUCT(($A$7:$A$606&lt;&gt;"")*($K$7:$K$606=$K462)*($H$7:$H$606=$H462)*(ROW($A$7:$A$606)&lt;&gt;462)*($L$7:$L$606&lt;=$M462)*($M$7:$M$606&gt;=$L462))&gt;0,"⚠ Çakışma","OK")))</f>
        <v/>
      </c>
      <c r="Q462" s="28" t="str">
        <f aca="false">IF($A462="","",IF(OR($E462="",$H462="",$L462=""),"",IF(SUMPRODUCT(($A$7:$A$606&lt;&gt;"")*($E$7:$E$606=$E462)*($H$7:$H$606=$H462)*(ROW($A$7:$A$606)&lt;&gt;462)*($L$7:$L$606&lt;=$M462)*($M$7:$M$606&gt;=$L462))&gt;0,"⚠ Çakışma","OK")))</f>
        <v/>
      </c>
      <c r="R462" s="28" t="str">
        <f aca="false">IF($A462="","",IF(OR($N462&lt;&gt;"",$O462="⚠ Çakışma",$P462="⚠ Çakışma",$Q462="⚠ Çakışma"),"⚠ Kontrol Et","✓ Uygun"))</f>
        <v/>
      </c>
    </row>
    <row r="463" customFormat="false" ht="13.5" hidden="false" customHeight="true" outlineLevel="0" collapsed="false">
      <c r="A463" s="28" t="str">
        <f aca="false">IF('3-Turizm İşletmeciliği'!A60="","","Turizm İşletmeciliği")</f>
        <v/>
      </c>
      <c r="B463" s="28" t="str">
        <f aca="false">IF($A463="","",IF('3-Turizm İşletmeciliği'!A60="","",'3-Turizm İşletmeciliği'!A60))</f>
        <v/>
      </c>
      <c r="C463" s="29" t="str">
        <f aca="false">IF($A463="","",IF('3-Turizm İşletmeciliği'!B60="","",'3-Turizm İşletmeciliği'!B60))</f>
        <v/>
      </c>
      <c r="D463" s="28" t="str">
        <f aca="false">IF($A463="","",IF('3-Turizm İşletmeciliği'!C60="","",'3-Turizm İşletmeciliği'!C60))</f>
        <v/>
      </c>
      <c r="E463" s="28" t="str">
        <f aca="false">IF($A463="","",$A463&amp;"-"&amp;$D463)</f>
        <v/>
      </c>
      <c r="F463" s="28" t="str">
        <f aca="false">IF($A463="","",IF('3-Turizm İşletmeciliği'!D60="","",'3-Turizm İşletmeciliği'!D60))</f>
        <v/>
      </c>
      <c r="G463" s="28" t="str">
        <f aca="false">IF($A463="","",IF('3-Turizm İşletmeciliği'!E60="","",'3-Turizm İşletmeciliği'!E60))</f>
        <v/>
      </c>
      <c r="H463" s="28" t="str">
        <f aca="false">IF($A463="","",IF('3-Turizm İşletmeciliği'!F60="","",'3-Turizm İşletmeciliği'!F60))</f>
        <v/>
      </c>
      <c r="I463" s="28" t="str">
        <f aca="false">IF($A463="","",IF('3-Turizm İşletmeciliği'!G60="","",'3-Turizm İşletmeciliği'!G60))</f>
        <v/>
      </c>
      <c r="J463" s="28" t="str">
        <f aca="false">IF($A463="","",IF('3-Turizm İşletmeciliği'!H60="","",'3-Turizm İşletmeciliği'!H60))</f>
        <v/>
      </c>
      <c r="K463" s="28" t="str">
        <f aca="false">IF($A463="","",IF('3-Turizm İşletmeciliği'!I60="","",'3-Turizm İşletmeciliği'!I60))</f>
        <v/>
      </c>
      <c r="L463" s="28" t="str">
        <f aca="false">IF($I463="","",MATCH($I463,{"08.00";"09.00";"10.00";"11.00";"12.00";"13.00";"14.00";"15.00";"16.00";"17.00"},0))</f>
        <v/>
      </c>
      <c r="M463" s="28" t="str">
        <f aca="false">IF(OR($L463="",$J463=""),"",$L463+$J463-1)</f>
        <v/>
      </c>
      <c r="N463" s="28" t="str">
        <f aca="false">IF($A463="","",IF(OR($L463="",$M463=""),"",IF($M463&gt;10,"⚠ Saat Taşıyor","")))</f>
        <v/>
      </c>
      <c r="O463" s="28" t="str">
        <f aca="false">IF($A463="","",IF(OR($G463="",$H463="",$L463=""),"",IF(SUMPRODUCT(($A$7:$A$606&lt;&gt;"")*($G$7:$G$606=$G463)*($H$7:$H$606=$H463)*(ROW($A$7:$A$606)&lt;&gt;463)*($L$7:$L$606&lt;=$M463)*($M$7:$M$606&gt;=$L463))&gt;0,"⚠ Çakışma","OK")))</f>
        <v/>
      </c>
      <c r="P463" s="28" t="str">
        <f aca="false">IF($A463="","",IF(OR($K463="",$H463="",$L463=""),"",IF(SUMPRODUCT(($A$7:$A$606&lt;&gt;"")*($K$7:$K$606=$K463)*($H$7:$H$606=$H463)*(ROW($A$7:$A$606)&lt;&gt;463)*($L$7:$L$606&lt;=$M463)*($M$7:$M$606&gt;=$L463))&gt;0,"⚠ Çakışma","OK")))</f>
        <v/>
      </c>
      <c r="Q463" s="28" t="str">
        <f aca="false">IF($A463="","",IF(OR($E463="",$H463="",$L463=""),"",IF(SUMPRODUCT(($A$7:$A$606&lt;&gt;"")*($E$7:$E$606=$E463)*($H$7:$H$606=$H463)*(ROW($A$7:$A$606)&lt;&gt;463)*($L$7:$L$606&lt;=$M463)*($M$7:$M$606&gt;=$L463))&gt;0,"⚠ Çakışma","OK")))</f>
        <v/>
      </c>
      <c r="R463" s="28" t="str">
        <f aca="false">IF($A463="","",IF(OR($N463&lt;&gt;"",$O463="⚠ Çakışma",$P463="⚠ Çakışma",$Q463="⚠ Çakışma"),"⚠ Kontrol Et","✓ Uygun"))</f>
        <v/>
      </c>
    </row>
    <row r="464" customFormat="false" ht="13.5" hidden="false" customHeight="true" outlineLevel="0" collapsed="false">
      <c r="A464" s="28" t="str">
        <f aca="false">IF('3-Turizm İşletmeciliği'!A61="","","Turizm İşletmeciliği")</f>
        <v/>
      </c>
      <c r="B464" s="28" t="str">
        <f aca="false">IF($A464="","",IF('3-Turizm İşletmeciliği'!A61="","",'3-Turizm İşletmeciliği'!A61))</f>
        <v/>
      </c>
      <c r="C464" s="29" t="str">
        <f aca="false">IF($A464="","",IF('3-Turizm İşletmeciliği'!B61="","",'3-Turizm İşletmeciliği'!B61))</f>
        <v/>
      </c>
      <c r="D464" s="28" t="str">
        <f aca="false">IF($A464="","",IF('3-Turizm İşletmeciliği'!C61="","",'3-Turizm İşletmeciliği'!C61))</f>
        <v/>
      </c>
      <c r="E464" s="28" t="str">
        <f aca="false">IF($A464="","",$A464&amp;"-"&amp;$D464)</f>
        <v/>
      </c>
      <c r="F464" s="28" t="str">
        <f aca="false">IF($A464="","",IF('3-Turizm İşletmeciliği'!D61="","",'3-Turizm İşletmeciliği'!D61))</f>
        <v/>
      </c>
      <c r="G464" s="28" t="str">
        <f aca="false">IF($A464="","",IF('3-Turizm İşletmeciliği'!E61="","",'3-Turizm İşletmeciliği'!E61))</f>
        <v/>
      </c>
      <c r="H464" s="28" t="str">
        <f aca="false">IF($A464="","",IF('3-Turizm İşletmeciliği'!F61="","",'3-Turizm İşletmeciliği'!F61))</f>
        <v/>
      </c>
      <c r="I464" s="28" t="str">
        <f aca="false">IF($A464="","",IF('3-Turizm İşletmeciliği'!G61="","",'3-Turizm İşletmeciliği'!G61))</f>
        <v/>
      </c>
      <c r="J464" s="28" t="str">
        <f aca="false">IF($A464="","",IF('3-Turizm İşletmeciliği'!H61="","",'3-Turizm İşletmeciliği'!H61))</f>
        <v/>
      </c>
      <c r="K464" s="28" t="str">
        <f aca="false">IF($A464="","",IF('3-Turizm İşletmeciliği'!I61="","",'3-Turizm İşletmeciliği'!I61))</f>
        <v/>
      </c>
      <c r="L464" s="28" t="str">
        <f aca="false">IF($I464="","",MATCH($I464,{"08.00";"09.00";"10.00";"11.00";"12.00";"13.00";"14.00";"15.00";"16.00";"17.00"},0))</f>
        <v/>
      </c>
      <c r="M464" s="28" t="str">
        <f aca="false">IF(OR($L464="",$J464=""),"",$L464+$J464-1)</f>
        <v/>
      </c>
      <c r="N464" s="28" t="str">
        <f aca="false">IF($A464="","",IF(OR($L464="",$M464=""),"",IF($M464&gt;10,"⚠ Saat Taşıyor","")))</f>
        <v/>
      </c>
      <c r="O464" s="28" t="str">
        <f aca="false">IF($A464="","",IF(OR($G464="",$H464="",$L464=""),"",IF(SUMPRODUCT(($A$7:$A$606&lt;&gt;"")*($G$7:$G$606=$G464)*($H$7:$H$606=$H464)*(ROW($A$7:$A$606)&lt;&gt;464)*($L$7:$L$606&lt;=$M464)*($M$7:$M$606&gt;=$L464))&gt;0,"⚠ Çakışma","OK")))</f>
        <v/>
      </c>
      <c r="P464" s="28" t="str">
        <f aca="false">IF($A464="","",IF(OR($K464="",$H464="",$L464=""),"",IF(SUMPRODUCT(($A$7:$A$606&lt;&gt;"")*($K$7:$K$606=$K464)*($H$7:$H$606=$H464)*(ROW($A$7:$A$606)&lt;&gt;464)*($L$7:$L$606&lt;=$M464)*($M$7:$M$606&gt;=$L464))&gt;0,"⚠ Çakışma","OK")))</f>
        <v/>
      </c>
      <c r="Q464" s="28" t="str">
        <f aca="false">IF($A464="","",IF(OR($E464="",$H464="",$L464=""),"",IF(SUMPRODUCT(($A$7:$A$606&lt;&gt;"")*($E$7:$E$606=$E464)*($H$7:$H$606=$H464)*(ROW($A$7:$A$606)&lt;&gt;464)*($L$7:$L$606&lt;=$M464)*($M$7:$M$606&gt;=$L464))&gt;0,"⚠ Çakışma","OK")))</f>
        <v/>
      </c>
      <c r="R464" s="28" t="str">
        <f aca="false">IF($A464="","",IF(OR($N464&lt;&gt;"",$O464="⚠ Çakışma",$P464="⚠ Çakışma",$Q464="⚠ Çakışma"),"⚠ Kontrol Et","✓ Uygun"))</f>
        <v/>
      </c>
    </row>
    <row r="465" customFormat="false" ht="13.5" hidden="false" customHeight="true" outlineLevel="0" collapsed="false">
      <c r="A465" s="28" t="str">
        <f aca="false">IF('3-Turizm İşletmeciliği'!A62="","","Turizm İşletmeciliği")</f>
        <v/>
      </c>
      <c r="B465" s="28" t="str">
        <f aca="false">IF($A465="","",IF('3-Turizm İşletmeciliği'!A62="","",'3-Turizm İşletmeciliği'!A62))</f>
        <v/>
      </c>
      <c r="C465" s="29" t="str">
        <f aca="false">IF($A465="","",IF('3-Turizm İşletmeciliği'!B62="","",'3-Turizm İşletmeciliği'!B62))</f>
        <v/>
      </c>
      <c r="D465" s="28" t="str">
        <f aca="false">IF($A465="","",IF('3-Turizm İşletmeciliği'!C62="","",'3-Turizm İşletmeciliği'!C62))</f>
        <v/>
      </c>
      <c r="E465" s="28" t="str">
        <f aca="false">IF($A465="","",$A465&amp;"-"&amp;$D465)</f>
        <v/>
      </c>
      <c r="F465" s="28" t="str">
        <f aca="false">IF($A465="","",IF('3-Turizm İşletmeciliği'!D62="","",'3-Turizm İşletmeciliği'!D62))</f>
        <v/>
      </c>
      <c r="G465" s="28" t="str">
        <f aca="false">IF($A465="","",IF('3-Turizm İşletmeciliği'!E62="","",'3-Turizm İşletmeciliği'!E62))</f>
        <v/>
      </c>
      <c r="H465" s="28" t="str">
        <f aca="false">IF($A465="","",IF('3-Turizm İşletmeciliği'!F62="","",'3-Turizm İşletmeciliği'!F62))</f>
        <v/>
      </c>
      <c r="I465" s="28" t="str">
        <f aca="false">IF($A465="","",IF('3-Turizm İşletmeciliği'!G62="","",'3-Turizm İşletmeciliği'!G62))</f>
        <v/>
      </c>
      <c r="J465" s="28" t="str">
        <f aca="false">IF($A465="","",IF('3-Turizm İşletmeciliği'!H62="","",'3-Turizm İşletmeciliği'!H62))</f>
        <v/>
      </c>
      <c r="K465" s="28" t="str">
        <f aca="false">IF($A465="","",IF('3-Turizm İşletmeciliği'!I62="","",'3-Turizm İşletmeciliği'!I62))</f>
        <v/>
      </c>
      <c r="L465" s="28" t="str">
        <f aca="false">IF($I465="","",MATCH($I465,{"08.00";"09.00";"10.00";"11.00";"12.00";"13.00";"14.00";"15.00";"16.00";"17.00"},0))</f>
        <v/>
      </c>
      <c r="M465" s="28" t="str">
        <f aca="false">IF(OR($L465="",$J465=""),"",$L465+$J465-1)</f>
        <v/>
      </c>
      <c r="N465" s="28" t="str">
        <f aca="false">IF($A465="","",IF(OR($L465="",$M465=""),"",IF($M465&gt;10,"⚠ Saat Taşıyor","")))</f>
        <v/>
      </c>
      <c r="O465" s="28" t="str">
        <f aca="false">IF($A465="","",IF(OR($G465="",$H465="",$L465=""),"",IF(SUMPRODUCT(($A$7:$A$606&lt;&gt;"")*($G$7:$G$606=$G465)*($H$7:$H$606=$H465)*(ROW($A$7:$A$606)&lt;&gt;465)*($L$7:$L$606&lt;=$M465)*($M$7:$M$606&gt;=$L465))&gt;0,"⚠ Çakışma","OK")))</f>
        <v/>
      </c>
      <c r="P465" s="28" t="str">
        <f aca="false">IF($A465="","",IF(OR($K465="",$H465="",$L465=""),"",IF(SUMPRODUCT(($A$7:$A$606&lt;&gt;"")*($K$7:$K$606=$K465)*($H$7:$H$606=$H465)*(ROW($A$7:$A$606)&lt;&gt;465)*($L$7:$L$606&lt;=$M465)*($M$7:$M$606&gt;=$L465))&gt;0,"⚠ Çakışma","OK")))</f>
        <v/>
      </c>
      <c r="Q465" s="28" t="str">
        <f aca="false">IF($A465="","",IF(OR($E465="",$H465="",$L465=""),"",IF(SUMPRODUCT(($A$7:$A$606&lt;&gt;"")*($E$7:$E$606=$E465)*($H$7:$H$606=$H465)*(ROW($A$7:$A$606)&lt;&gt;465)*($L$7:$L$606&lt;=$M465)*($M$7:$M$606&gt;=$L465))&gt;0,"⚠ Çakışma","OK")))</f>
        <v/>
      </c>
      <c r="R465" s="28" t="str">
        <f aca="false">IF($A465="","",IF(OR($N465&lt;&gt;"",$O465="⚠ Çakışma",$P465="⚠ Çakışma",$Q465="⚠ Çakışma"),"⚠ Kontrol Et","✓ Uygun"))</f>
        <v/>
      </c>
    </row>
    <row r="466" customFormat="false" ht="13.5" hidden="false" customHeight="true" outlineLevel="0" collapsed="false">
      <c r="A466" s="28" t="str">
        <f aca="false">IF('3-Turizm İşletmeciliği'!A63="","","Turizm İşletmeciliği")</f>
        <v/>
      </c>
      <c r="B466" s="28" t="str">
        <f aca="false">IF($A466="","",IF('3-Turizm İşletmeciliği'!A63="","",'3-Turizm İşletmeciliği'!A63))</f>
        <v/>
      </c>
      <c r="C466" s="29" t="str">
        <f aca="false">IF($A466="","",IF('3-Turizm İşletmeciliği'!B63="","",'3-Turizm İşletmeciliği'!B63))</f>
        <v/>
      </c>
      <c r="D466" s="28" t="str">
        <f aca="false">IF($A466="","",IF('3-Turizm İşletmeciliği'!C63="","",'3-Turizm İşletmeciliği'!C63))</f>
        <v/>
      </c>
      <c r="E466" s="28" t="str">
        <f aca="false">IF($A466="","",$A466&amp;"-"&amp;$D466)</f>
        <v/>
      </c>
      <c r="F466" s="28" t="str">
        <f aca="false">IF($A466="","",IF('3-Turizm İşletmeciliği'!D63="","",'3-Turizm İşletmeciliği'!D63))</f>
        <v/>
      </c>
      <c r="G466" s="28" t="str">
        <f aca="false">IF($A466="","",IF('3-Turizm İşletmeciliği'!E63="","",'3-Turizm İşletmeciliği'!E63))</f>
        <v/>
      </c>
      <c r="H466" s="28" t="str">
        <f aca="false">IF($A466="","",IF('3-Turizm İşletmeciliği'!F63="","",'3-Turizm İşletmeciliği'!F63))</f>
        <v/>
      </c>
      <c r="I466" s="28" t="str">
        <f aca="false">IF($A466="","",IF('3-Turizm İşletmeciliği'!G63="","",'3-Turizm İşletmeciliği'!G63))</f>
        <v/>
      </c>
      <c r="J466" s="28" t="str">
        <f aca="false">IF($A466="","",IF('3-Turizm İşletmeciliği'!H63="","",'3-Turizm İşletmeciliği'!H63))</f>
        <v/>
      </c>
      <c r="K466" s="28" t="str">
        <f aca="false">IF($A466="","",IF('3-Turizm İşletmeciliği'!I63="","",'3-Turizm İşletmeciliği'!I63))</f>
        <v/>
      </c>
      <c r="L466" s="28" t="str">
        <f aca="false">IF($I466="","",MATCH($I466,{"08.00";"09.00";"10.00";"11.00";"12.00";"13.00";"14.00";"15.00";"16.00";"17.00"},0))</f>
        <v/>
      </c>
      <c r="M466" s="28" t="str">
        <f aca="false">IF(OR($L466="",$J466=""),"",$L466+$J466-1)</f>
        <v/>
      </c>
      <c r="N466" s="28" t="str">
        <f aca="false">IF($A466="","",IF(OR($L466="",$M466=""),"",IF($M466&gt;10,"⚠ Saat Taşıyor","")))</f>
        <v/>
      </c>
      <c r="O466" s="28" t="str">
        <f aca="false">IF($A466="","",IF(OR($G466="",$H466="",$L466=""),"",IF(SUMPRODUCT(($A$7:$A$606&lt;&gt;"")*($G$7:$G$606=$G466)*($H$7:$H$606=$H466)*(ROW($A$7:$A$606)&lt;&gt;466)*($L$7:$L$606&lt;=$M466)*($M$7:$M$606&gt;=$L466))&gt;0,"⚠ Çakışma","OK")))</f>
        <v/>
      </c>
      <c r="P466" s="28" t="str">
        <f aca="false">IF($A466="","",IF(OR($K466="",$H466="",$L466=""),"",IF(SUMPRODUCT(($A$7:$A$606&lt;&gt;"")*($K$7:$K$606=$K466)*($H$7:$H$606=$H466)*(ROW($A$7:$A$606)&lt;&gt;466)*($L$7:$L$606&lt;=$M466)*($M$7:$M$606&gt;=$L466))&gt;0,"⚠ Çakışma","OK")))</f>
        <v/>
      </c>
      <c r="Q466" s="28" t="str">
        <f aca="false">IF($A466="","",IF(OR($E466="",$H466="",$L466=""),"",IF(SUMPRODUCT(($A$7:$A$606&lt;&gt;"")*($E$7:$E$606=$E466)*($H$7:$H$606=$H466)*(ROW($A$7:$A$606)&lt;&gt;466)*($L$7:$L$606&lt;=$M466)*($M$7:$M$606&gt;=$L466))&gt;0,"⚠ Çakışma","OK")))</f>
        <v/>
      </c>
      <c r="R466" s="28" t="str">
        <f aca="false">IF($A466="","",IF(OR($N466&lt;&gt;"",$O466="⚠ Çakışma",$P466="⚠ Çakışma",$Q466="⚠ Çakışma"),"⚠ Kontrol Et","✓ Uygun"))</f>
        <v/>
      </c>
    </row>
    <row r="467" customFormat="false" ht="13.5" hidden="false" customHeight="true" outlineLevel="0" collapsed="false">
      <c r="A467" s="28" t="str">
        <f aca="false">IF('3-Turizm İşletmeciliği'!A64="","","Turizm İşletmeciliği")</f>
        <v/>
      </c>
      <c r="B467" s="28" t="str">
        <f aca="false">IF($A467="","",IF('3-Turizm İşletmeciliği'!A64="","",'3-Turizm İşletmeciliği'!A64))</f>
        <v/>
      </c>
      <c r="C467" s="29" t="str">
        <f aca="false">IF($A467="","",IF('3-Turizm İşletmeciliği'!B64="","",'3-Turizm İşletmeciliği'!B64))</f>
        <v/>
      </c>
      <c r="D467" s="28" t="str">
        <f aca="false">IF($A467="","",IF('3-Turizm İşletmeciliği'!C64="","",'3-Turizm İşletmeciliği'!C64))</f>
        <v/>
      </c>
      <c r="E467" s="28" t="str">
        <f aca="false">IF($A467="","",$A467&amp;"-"&amp;$D467)</f>
        <v/>
      </c>
      <c r="F467" s="28" t="str">
        <f aca="false">IF($A467="","",IF('3-Turizm İşletmeciliği'!D64="","",'3-Turizm İşletmeciliği'!D64))</f>
        <v/>
      </c>
      <c r="G467" s="28" t="str">
        <f aca="false">IF($A467="","",IF('3-Turizm İşletmeciliği'!E64="","",'3-Turizm İşletmeciliği'!E64))</f>
        <v/>
      </c>
      <c r="H467" s="28" t="str">
        <f aca="false">IF($A467="","",IF('3-Turizm İşletmeciliği'!F64="","",'3-Turizm İşletmeciliği'!F64))</f>
        <v/>
      </c>
      <c r="I467" s="28" t="str">
        <f aca="false">IF($A467="","",IF('3-Turizm İşletmeciliği'!G64="","",'3-Turizm İşletmeciliği'!G64))</f>
        <v/>
      </c>
      <c r="J467" s="28" t="str">
        <f aca="false">IF($A467="","",IF('3-Turizm İşletmeciliği'!H64="","",'3-Turizm İşletmeciliği'!H64))</f>
        <v/>
      </c>
      <c r="K467" s="28" t="str">
        <f aca="false">IF($A467="","",IF('3-Turizm İşletmeciliği'!I64="","",'3-Turizm İşletmeciliği'!I64))</f>
        <v/>
      </c>
      <c r="L467" s="28" t="str">
        <f aca="false">IF($I467="","",MATCH($I467,{"08.00";"09.00";"10.00";"11.00";"12.00";"13.00";"14.00";"15.00";"16.00";"17.00"},0))</f>
        <v/>
      </c>
      <c r="M467" s="28" t="str">
        <f aca="false">IF(OR($L467="",$J467=""),"",$L467+$J467-1)</f>
        <v/>
      </c>
      <c r="N467" s="28" t="str">
        <f aca="false">IF($A467="","",IF(OR($L467="",$M467=""),"",IF($M467&gt;10,"⚠ Saat Taşıyor","")))</f>
        <v/>
      </c>
      <c r="O467" s="28" t="str">
        <f aca="false">IF($A467="","",IF(OR($G467="",$H467="",$L467=""),"",IF(SUMPRODUCT(($A$7:$A$606&lt;&gt;"")*($G$7:$G$606=$G467)*($H$7:$H$606=$H467)*(ROW($A$7:$A$606)&lt;&gt;467)*($L$7:$L$606&lt;=$M467)*($M$7:$M$606&gt;=$L467))&gt;0,"⚠ Çakışma","OK")))</f>
        <v/>
      </c>
      <c r="P467" s="28" t="str">
        <f aca="false">IF($A467="","",IF(OR($K467="",$H467="",$L467=""),"",IF(SUMPRODUCT(($A$7:$A$606&lt;&gt;"")*($K$7:$K$606=$K467)*($H$7:$H$606=$H467)*(ROW($A$7:$A$606)&lt;&gt;467)*($L$7:$L$606&lt;=$M467)*($M$7:$M$606&gt;=$L467))&gt;0,"⚠ Çakışma","OK")))</f>
        <v/>
      </c>
      <c r="Q467" s="28" t="str">
        <f aca="false">IF($A467="","",IF(OR($E467="",$H467="",$L467=""),"",IF(SUMPRODUCT(($A$7:$A$606&lt;&gt;"")*($E$7:$E$606=$E467)*($H$7:$H$606=$H467)*(ROW($A$7:$A$606)&lt;&gt;467)*($L$7:$L$606&lt;=$M467)*($M$7:$M$606&gt;=$L467))&gt;0,"⚠ Çakışma","OK")))</f>
        <v/>
      </c>
      <c r="R467" s="28" t="str">
        <f aca="false">IF($A467="","",IF(OR($N467&lt;&gt;"",$O467="⚠ Çakışma",$P467="⚠ Çakışma",$Q467="⚠ Çakışma"),"⚠ Kontrol Et","✓ Uygun"))</f>
        <v/>
      </c>
    </row>
    <row r="468" customFormat="false" ht="13.5" hidden="false" customHeight="true" outlineLevel="0" collapsed="false">
      <c r="A468" s="28" t="str">
        <f aca="false">IF('3-Turizm İşletmeciliği'!A65="","","Turizm İşletmeciliği")</f>
        <v/>
      </c>
      <c r="B468" s="28" t="str">
        <f aca="false">IF($A468="","",IF('3-Turizm İşletmeciliği'!A65="","",'3-Turizm İşletmeciliği'!A65))</f>
        <v/>
      </c>
      <c r="C468" s="29" t="str">
        <f aca="false">IF($A468="","",IF('3-Turizm İşletmeciliği'!B65="","",'3-Turizm İşletmeciliği'!B65))</f>
        <v/>
      </c>
      <c r="D468" s="28" t="str">
        <f aca="false">IF($A468="","",IF('3-Turizm İşletmeciliği'!C65="","",'3-Turizm İşletmeciliği'!C65))</f>
        <v/>
      </c>
      <c r="E468" s="28" t="str">
        <f aca="false">IF($A468="","",$A468&amp;"-"&amp;$D468)</f>
        <v/>
      </c>
      <c r="F468" s="28" t="str">
        <f aca="false">IF($A468="","",IF('3-Turizm İşletmeciliği'!D65="","",'3-Turizm İşletmeciliği'!D65))</f>
        <v/>
      </c>
      <c r="G468" s="28" t="str">
        <f aca="false">IF($A468="","",IF('3-Turizm İşletmeciliği'!E65="","",'3-Turizm İşletmeciliği'!E65))</f>
        <v/>
      </c>
      <c r="H468" s="28" t="str">
        <f aca="false">IF($A468="","",IF('3-Turizm İşletmeciliği'!F65="","",'3-Turizm İşletmeciliği'!F65))</f>
        <v/>
      </c>
      <c r="I468" s="28" t="str">
        <f aca="false">IF($A468="","",IF('3-Turizm İşletmeciliği'!G65="","",'3-Turizm İşletmeciliği'!G65))</f>
        <v/>
      </c>
      <c r="J468" s="28" t="str">
        <f aca="false">IF($A468="","",IF('3-Turizm İşletmeciliği'!H65="","",'3-Turizm İşletmeciliği'!H65))</f>
        <v/>
      </c>
      <c r="K468" s="28" t="str">
        <f aca="false">IF($A468="","",IF('3-Turizm İşletmeciliği'!I65="","",'3-Turizm İşletmeciliği'!I65))</f>
        <v/>
      </c>
      <c r="L468" s="28" t="str">
        <f aca="false">IF($I468="","",MATCH($I468,{"08.00";"09.00";"10.00";"11.00";"12.00";"13.00";"14.00";"15.00";"16.00";"17.00"},0))</f>
        <v/>
      </c>
      <c r="M468" s="28" t="str">
        <f aca="false">IF(OR($L468="",$J468=""),"",$L468+$J468-1)</f>
        <v/>
      </c>
      <c r="N468" s="28" t="str">
        <f aca="false">IF($A468="","",IF(OR($L468="",$M468=""),"",IF($M468&gt;10,"⚠ Saat Taşıyor","")))</f>
        <v/>
      </c>
      <c r="O468" s="28" t="str">
        <f aca="false">IF($A468="","",IF(OR($G468="",$H468="",$L468=""),"",IF(SUMPRODUCT(($A$7:$A$606&lt;&gt;"")*($G$7:$G$606=$G468)*($H$7:$H$606=$H468)*(ROW($A$7:$A$606)&lt;&gt;468)*($L$7:$L$606&lt;=$M468)*($M$7:$M$606&gt;=$L468))&gt;0,"⚠ Çakışma","OK")))</f>
        <v/>
      </c>
      <c r="P468" s="28" t="str">
        <f aca="false">IF($A468="","",IF(OR($K468="",$H468="",$L468=""),"",IF(SUMPRODUCT(($A$7:$A$606&lt;&gt;"")*($K$7:$K$606=$K468)*($H$7:$H$606=$H468)*(ROW($A$7:$A$606)&lt;&gt;468)*($L$7:$L$606&lt;=$M468)*($M$7:$M$606&gt;=$L468))&gt;0,"⚠ Çakışma","OK")))</f>
        <v/>
      </c>
      <c r="Q468" s="28" t="str">
        <f aca="false">IF($A468="","",IF(OR($E468="",$H468="",$L468=""),"",IF(SUMPRODUCT(($A$7:$A$606&lt;&gt;"")*($E$7:$E$606=$E468)*($H$7:$H$606=$H468)*(ROW($A$7:$A$606)&lt;&gt;468)*($L$7:$L$606&lt;=$M468)*($M$7:$M$606&gt;=$L468))&gt;0,"⚠ Çakışma","OK")))</f>
        <v/>
      </c>
      <c r="R468" s="28" t="str">
        <f aca="false">IF($A468="","",IF(OR($N468&lt;&gt;"",$O468="⚠ Çakışma",$P468="⚠ Çakışma",$Q468="⚠ Çakışma"),"⚠ Kontrol Et","✓ Uygun"))</f>
        <v/>
      </c>
    </row>
    <row r="469" customFormat="false" ht="13.5" hidden="false" customHeight="true" outlineLevel="0" collapsed="false">
      <c r="A469" s="28" t="str">
        <f aca="false">IF('3-Turizm İşletmeciliği'!A66="","","Turizm İşletmeciliği")</f>
        <v/>
      </c>
      <c r="B469" s="28" t="str">
        <f aca="false">IF($A469="","",IF('3-Turizm İşletmeciliği'!A66="","",'3-Turizm İşletmeciliği'!A66))</f>
        <v/>
      </c>
      <c r="C469" s="29" t="str">
        <f aca="false">IF($A469="","",IF('3-Turizm İşletmeciliği'!B66="","",'3-Turizm İşletmeciliği'!B66))</f>
        <v/>
      </c>
      <c r="D469" s="28" t="str">
        <f aca="false">IF($A469="","",IF('3-Turizm İşletmeciliği'!C66="","",'3-Turizm İşletmeciliği'!C66))</f>
        <v/>
      </c>
      <c r="E469" s="28" t="str">
        <f aca="false">IF($A469="","",$A469&amp;"-"&amp;$D469)</f>
        <v/>
      </c>
      <c r="F469" s="28" t="str">
        <f aca="false">IF($A469="","",IF('3-Turizm İşletmeciliği'!D66="","",'3-Turizm İşletmeciliği'!D66))</f>
        <v/>
      </c>
      <c r="G469" s="28" t="str">
        <f aca="false">IF($A469="","",IF('3-Turizm İşletmeciliği'!E66="","",'3-Turizm İşletmeciliği'!E66))</f>
        <v/>
      </c>
      <c r="H469" s="28" t="str">
        <f aca="false">IF($A469="","",IF('3-Turizm İşletmeciliği'!F66="","",'3-Turizm İşletmeciliği'!F66))</f>
        <v/>
      </c>
      <c r="I469" s="28" t="str">
        <f aca="false">IF($A469="","",IF('3-Turizm İşletmeciliği'!G66="","",'3-Turizm İşletmeciliği'!G66))</f>
        <v/>
      </c>
      <c r="J469" s="28" t="str">
        <f aca="false">IF($A469="","",IF('3-Turizm İşletmeciliği'!H66="","",'3-Turizm İşletmeciliği'!H66))</f>
        <v/>
      </c>
      <c r="K469" s="28" t="str">
        <f aca="false">IF($A469="","",IF('3-Turizm İşletmeciliği'!I66="","",'3-Turizm İşletmeciliği'!I66))</f>
        <v/>
      </c>
      <c r="L469" s="28" t="str">
        <f aca="false">IF($I469="","",MATCH($I469,{"08.00";"09.00";"10.00";"11.00";"12.00";"13.00";"14.00";"15.00";"16.00";"17.00"},0))</f>
        <v/>
      </c>
      <c r="M469" s="28" t="str">
        <f aca="false">IF(OR($L469="",$J469=""),"",$L469+$J469-1)</f>
        <v/>
      </c>
      <c r="N469" s="28" t="str">
        <f aca="false">IF($A469="","",IF(OR($L469="",$M469=""),"",IF($M469&gt;10,"⚠ Saat Taşıyor","")))</f>
        <v/>
      </c>
      <c r="O469" s="28" t="str">
        <f aca="false">IF($A469="","",IF(OR($G469="",$H469="",$L469=""),"",IF(SUMPRODUCT(($A$7:$A$606&lt;&gt;"")*($G$7:$G$606=$G469)*($H$7:$H$606=$H469)*(ROW($A$7:$A$606)&lt;&gt;469)*($L$7:$L$606&lt;=$M469)*($M$7:$M$606&gt;=$L469))&gt;0,"⚠ Çakışma","OK")))</f>
        <v/>
      </c>
      <c r="P469" s="28" t="str">
        <f aca="false">IF($A469="","",IF(OR($K469="",$H469="",$L469=""),"",IF(SUMPRODUCT(($A$7:$A$606&lt;&gt;"")*($K$7:$K$606=$K469)*($H$7:$H$606=$H469)*(ROW($A$7:$A$606)&lt;&gt;469)*($L$7:$L$606&lt;=$M469)*($M$7:$M$606&gt;=$L469))&gt;0,"⚠ Çakışma","OK")))</f>
        <v/>
      </c>
      <c r="Q469" s="28" t="str">
        <f aca="false">IF($A469="","",IF(OR($E469="",$H469="",$L469=""),"",IF(SUMPRODUCT(($A$7:$A$606&lt;&gt;"")*($E$7:$E$606=$E469)*($H$7:$H$606=$H469)*(ROW($A$7:$A$606)&lt;&gt;469)*($L$7:$L$606&lt;=$M469)*($M$7:$M$606&gt;=$L469))&gt;0,"⚠ Çakışma","OK")))</f>
        <v/>
      </c>
      <c r="R469" s="28" t="str">
        <f aca="false">IF($A469="","",IF(OR($N469&lt;&gt;"",$O469="⚠ Çakışma",$P469="⚠ Çakışma",$Q469="⚠ Çakışma"),"⚠ Kontrol Et","✓ Uygun"))</f>
        <v/>
      </c>
    </row>
    <row r="470" customFormat="false" ht="13.5" hidden="false" customHeight="true" outlineLevel="0" collapsed="false">
      <c r="A470" s="28" t="str">
        <f aca="false">IF('3-Turizm İşletmeciliği'!A67="","","Turizm İşletmeciliği")</f>
        <v/>
      </c>
      <c r="B470" s="28" t="str">
        <f aca="false">IF($A470="","",IF('3-Turizm İşletmeciliği'!A67="","",'3-Turizm İşletmeciliği'!A67))</f>
        <v/>
      </c>
      <c r="C470" s="29" t="str">
        <f aca="false">IF($A470="","",IF('3-Turizm İşletmeciliği'!B67="","",'3-Turizm İşletmeciliği'!B67))</f>
        <v/>
      </c>
      <c r="D470" s="28" t="str">
        <f aca="false">IF($A470="","",IF('3-Turizm İşletmeciliği'!C67="","",'3-Turizm İşletmeciliği'!C67))</f>
        <v/>
      </c>
      <c r="E470" s="28" t="str">
        <f aca="false">IF($A470="","",$A470&amp;"-"&amp;$D470)</f>
        <v/>
      </c>
      <c r="F470" s="28" t="str">
        <f aca="false">IF($A470="","",IF('3-Turizm İşletmeciliği'!D67="","",'3-Turizm İşletmeciliği'!D67))</f>
        <v/>
      </c>
      <c r="G470" s="28" t="str">
        <f aca="false">IF($A470="","",IF('3-Turizm İşletmeciliği'!E67="","",'3-Turizm İşletmeciliği'!E67))</f>
        <v/>
      </c>
      <c r="H470" s="28" t="str">
        <f aca="false">IF($A470="","",IF('3-Turizm İşletmeciliği'!F67="","",'3-Turizm İşletmeciliği'!F67))</f>
        <v/>
      </c>
      <c r="I470" s="28" t="str">
        <f aca="false">IF($A470="","",IF('3-Turizm İşletmeciliği'!G67="","",'3-Turizm İşletmeciliği'!G67))</f>
        <v/>
      </c>
      <c r="J470" s="28" t="str">
        <f aca="false">IF($A470="","",IF('3-Turizm İşletmeciliği'!H67="","",'3-Turizm İşletmeciliği'!H67))</f>
        <v/>
      </c>
      <c r="K470" s="28" t="str">
        <f aca="false">IF($A470="","",IF('3-Turizm İşletmeciliği'!I67="","",'3-Turizm İşletmeciliği'!I67))</f>
        <v/>
      </c>
      <c r="L470" s="28" t="str">
        <f aca="false">IF($I470="","",MATCH($I470,{"08.00";"09.00";"10.00";"11.00";"12.00";"13.00";"14.00";"15.00";"16.00";"17.00"},0))</f>
        <v/>
      </c>
      <c r="M470" s="28" t="str">
        <f aca="false">IF(OR($L470="",$J470=""),"",$L470+$J470-1)</f>
        <v/>
      </c>
      <c r="N470" s="28" t="str">
        <f aca="false">IF($A470="","",IF(OR($L470="",$M470=""),"",IF($M470&gt;10,"⚠ Saat Taşıyor","")))</f>
        <v/>
      </c>
      <c r="O470" s="28" t="str">
        <f aca="false">IF($A470="","",IF(OR($G470="",$H470="",$L470=""),"",IF(SUMPRODUCT(($A$7:$A$606&lt;&gt;"")*($G$7:$G$606=$G470)*($H$7:$H$606=$H470)*(ROW($A$7:$A$606)&lt;&gt;470)*($L$7:$L$606&lt;=$M470)*($M$7:$M$606&gt;=$L470))&gt;0,"⚠ Çakışma","OK")))</f>
        <v/>
      </c>
      <c r="P470" s="28" t="str">
        <f aca="false">IF($A470="","",IF(OR($K470="",$H470="",$L470=""),"",IF(SUMPRODUCT(($A$7:$A$606&lt;&gt;"")*($K$7:$K$606=$K470)*($H$7:$H$606=$H470)*(ROW($A$7:$A$606)&lt;&gt;470)*($L$7:$L$606&lt;=$M470)*($M$7:$M$606&gt;=$L470))&gt;0,"⚠ Çakışma","OK")))</f>
        <v/>
      </c>
      <c r="Q470" s="28" t="str">
        <f aca="false">IF($A470="","",IF(OR($E470="",$H470="",$L470=""),"",IF(SUMPRODUCT(($A$7:$A$606&lt;&gt;"")*($E$7:$E$606=$E470)*($H$7:$H$606=$H470)*(ROW($A$7:$A$606)&lt;&gt;470)*($L$7:$L$606&lt;=$M470)*($M$7:$M$606&gt;=$L470))&gt;0,"⚠ Çakışma","OK")))</f>
        <v/>
      </c>
      <c r="R470" s="28" t="str">
        <f aca="false">IF($A470="","",IF(OR($N470&lt;&gt;"",$O470="⚠ Çakışma",$P470="⚠ Çakışma",$Q470="⚠ Çakışma"),"⚠ Kontrol Et","✓ Uygun"))</f>
        <v/>
      </c>
    </row>
    <row r="471" customFormat="false" ht="13.5" hidden="false" customHeight="true" outlineLevel="0" collapsed="false">
      <c r="A471" s="28" t="str">
        <f aca="false">IF('3-Turizm İşletmeciliği'!A68="","","Turizm İşletmeciliği")</f>
        <v/>
      </c>
      <c r="B471" s="28" t="str">
        <f aca="false">IF($A471="","",IF('3-Turizm İşletmeciliği'!A68="","",'3-Turizm İşletmeciliği'!A68))</f>
        <v/>
      </c>
      <c r="C471" s="29" t="str">
        <f aca="false">IF($A471="","",IF('3-Turizm İşletmeciliği'!B68="","",'3-Turizm İşletmeciliği'!B68))</f>
        <v/>
      </c>
      <c r="D471" s="28" t="str">
        <f aca="false">IF($A471="","",IF('3-Turizm İşletmeciliği'!C68="","",'3-Turizm İşletmeciliği'!C68))</f>
        <v/>
      </c>
      <c r="E471" s="28" t="str">
        <f aca="false">IF($A471="","",$A471&amp;"-"&amp;$D471)</f>
        <v/>
      </c>
      <c r="F471" s="28" t="str">
        <f aca="false">IF($A471="","",IF('3-Turizm İşletmeciliği'!D68="","",'3-Turizm İşletmeciliği'!D68))</f>
        <v/>
      </c>
      <c r="G471" s="28" t="str">
        <f aca="false">IF($A471="","",IF('3-Turizm İşletmeciliği'!E68="","",'3-Turizm İşletmeciliği'!E68))</f>
        <v/>
      </c>
      <c r="H471" s="28" t="str">
        <f aca="false">IF($A471="","",IF('3-Turizm İşletmeciliği'!F68="","",'3-Turizm İşletmeciliği'!F68))</f>
        <v/>
      </c>
      <c r="I471" s="28" t="str">
        <f aca="false">IF($A471="","",IF('3-Turizm İşletmeciliği'!G68="","",'3-Turizm İşletmeciliği'!G68))</f>
        <v/>
      </c>
      <c r="J471" s="28" t="str">
        <f aca="false">IF($A471="","",IF('3-Turizm İşletmeciliği'!H68="","",'3-Turizm İşletmeciliği'!H68))</f>
        <v/>
      </c>
      <c r="K471" s="28" t="str">
        <f aca="false">IF($A471="","",IF('3-Turizm İşletmeciliği'!I68="","",'3-Turizm İşletmeciliği'!I68))</f>
        <v/>
      </c>
      <c r="L471" s="28" t="str">
        <f aca="false">IF($I471="","",MATCH($I471,{"08.00";"09.00";"10.00";"11.00";"12.00";"13.00";"14.00";"15.00";"16.00";"17.00"},0))</f>
        <v/>
      </c>
      <c r="M471" s="28" t="str">
        <f aca="false">IF(OR($L471="",$J471=""),"",$L471+$J471-1)</f>
        <v/>
      </c>
      <c r="N471" s="28" t="str">
        <f aca="false">IF($A471="","",IF(OR($L471="",$M471=""),"",IF($M471&gt;10,"⚠ Saat Taşıyor","")))</f>
        <v/>
      </c>
      <c r="O471" s="28" t="str">
        <f aca="false">IF($A471="","",IF(OR($G471="",$H471="",$L471=""),"",IF(SUMPRODUCT(($A$7:$A$606&lt;&gt;"")*($G$7:$G$606=$G471)*($H$7:$H$606=$H471)*(ROW($A$7:$A$606)&lt;&gt;471)*($L$7:$L$606&lt;=$M471)*($M$7:$M$606&gt;=$L471))&gt;0,"⚠ Çakışma","OK")))</f>
        <v/>
      </c>
      <c r="P471" s="28" t="str">
        <f aca="false">IF($A471="","",IF(OR($K471="",$H471="",$L471=""),"",IF(SUMPRODUCT(($A$7:$A$606&lt;&gt;"")*($K$7:$K$606=$K471)*($H$7:$H$606=$H471)*(ROW($A$7:$A$606)&lt;&gt;471)*($L$7:$L$606&lt;=$M471)*($M$7:$M$606&gt;=$L471))&gt;0,"⚠ Çakışma","OK")))</f>
        <v/>
      </c>
      <c r="Q471" s="28" t="str">
        <f aca="false">IF($A471="","",IF(OR($E471="",$H471="",$L471=""),"",IF(SUMPRODUCT(($A$7:$A$606&lt;&gt;"")*($E$7:$E$606=$E471)*($H$7:$H$606=$H471)*(ROW($A$7:$A$606)&lt;&gt;471)*($L$7:$L$606&lt;=$M471)*($M$7:$M$606&gt;=$L471))&gt;0,"⚠ Çakışma","OK")))</f>
        <v/>
      </c>
      <c r="R471" s="28" t="str">
        <f aca="false">IF($A471="","",IF(OR($N471&lt;&gt;"",$O471="⚠ Çakışma",$P471="⚠ Çakışma",$Q471="⚠ Çakışma"),"⚠ Kontrol Et","✓ Uygun"))</f>
        <v/>
      </c>
    </row>
    <row r="472" customFormat="false" ht="13.5" hidden="false" customHeight="true" outlineLevel="0" collapsed="false">
      <c r="A472" s="28" t="str">
        <f aca="false">IF('3-Turizm İşletmeciliği'!A69="","","Turizm İşletmeciliği")</f>
        <v/>
      </c>
      <c r="B472" s="28" t="str">
        <f aca="false">IF($A472="","",IF('3-Turizm İşletmeciliği'!A69="","",'3-Turizm İşletmeciliği'!A69))</f>
        <v/>
      </c>
      <c r="C472" s="29" t="str">
        <f aca="false">IF($A472="","",IF('3-Turizm İşletmeciliği'!B69="","",'3-Turizm İşletmeciliği'!B69))</f>
        <v/>
      </c>
      <c r="D472" s="28" t="str">
        <f aca="false">IF($A472="","",IF('3-Turizm İşletmeciliği'!C69="","",'3-Turizm İşletmeciliği'!C69))</f>
        <v/>
      </c>
      <c r="E472" s="28" t="str">
        <f aca="false">IF($A472="","",$A472&amp;"-"&amp;$D472)</f>
        <v/>
      </c>
      <c r="F472" s="28" t="str">
        <f aca="false">IF($A472="","",IF('3-Turizm İşletmeciliği'!D69="","",'3-Turizm İşletmeciliği'!D69))</f>
        <v/>
      </c>
      <c r="G472" s="28" t="str">
        <f aca="false">IF($A472="","",IF('3-Turizm İşletmeciliği'!E69="","",'3-Turizm İşletmeciliği'!E69))</f>
        <v/>
      </c>
      <c r="H472" s="28" t="str">
        <f aca="false">IF($A472="","",IF('3-Turizm İşletmeciliği'!F69="","",'3-Turizm İşletmeciliği'!F69))</f>
        <v/>
      </c>
      <c r="I472" s="28" t="str">
        <f aca="false">IF($A472="","",IF('3-Turizm İşletmeciliği'!G69="","",'3-Turizm İşletmeciliği'!G69))</f>
        <v/>
      </c>
      <c r="J472" s="28" t="str">
        <f aca="false">IF($A472="","",IF('3-Turizm İşletmeciliği'!H69="","",'3-Turizm İşletmeciliği'!H69))</f>
        <v/>
      </c>
      <c r="K472" s="28" t="str">
        <f aca="false">IF($A472="","",IF('3-Turizm İşletmeciliği'!I69="","",'3-Turizm İşletmeciliği'!I69))</f>
        <v/>
      </c>
      <c r="L472" s="28" t="str">
        <f aca="false">IF($I472="","",MATCH($I472,{"08.00";"09.00";"10.00";"11.00";"12.00";"13.00";"14.00";"15.00";"16.00";"17.00"},0))</f>
        <v/>
      </c>
      <c r="M472" s="28" t="str">
        <f aca="false">IF(OR($L472="",$J472=""),"",$L472+$J472-1)</f>
        <v/>
      </c>
      <c r="N472" s="28" t="str">
        <f aca="false">IF($A472="","",IF(OR($L472="",$M472=""),"",IF($M472&gt;10,"⚠ Saat Taşıyor","")))</f>
        <v/>
      </c>
      <c r="O472" s="28" t="str">
        <f aca="false">IF($A472="","",IF(OR($G472="",$H472="",$L472=""),"",IF(SUMPRODUCT(($A$7:$A$606&lt;&gt;"")*($G$7:$G$606=$G472)*($H$7:$H$606=$H472)*(ROW($A$7:$A$606)&lt;&gt;472)*($L$7:$L$606&lt;=$M472)*($M$7:$M$606&gt;=$L472))&gt;0,"⚠ Çakışma","OK")))</f>
        <v/>
      </c>
      <c r="P472" s="28" t="str">
        <f aca="false">IF($A472="","",IF(OR($K472="",$H472="",$L472=""),"",IF(SUMPRODUCT(($A$7:$A$606&lt;&gt;"")*($K$7:$K$606=$K472)*($H$7:$H$606=$H472)*(ROW($A$7:$A$606)&lt;&gt;472)*($L$7:$L$606&lt;=$M472)*($M$7:$M$606&gt;=$L472))&gt;0,"⚠ Çakışma","OK")))</f>
        <v/>
      </c>
      <c r="Q472" s="28" t="str">
        <f aca="false">IF($A472="","",IF(OR($E472="",$H472="",$L472=""),"",IF(SUMPRODUCT(($A$7:$A$606&lt;&gt;"")*($E$7:$E$606=$E472)*($H$7:$H$606=$H472)*(ROW($A$7:$A$606)&lt;&gt;472)*($L$7:$L$606&lt;=$M472)*($M$7:$M$606&gt;=$L472))&gt;0,"⚠ Çakışma","OK")))</f>
        <v/>
      </c>
      <c r="R472" s="28" t="str">
        <f aca="false">IF($A472="","",IF(OR($N472&lt;&gt;"",$O472="⚠ Çakışma",$P472="⚠ Çakışma",$Q472="⚠ Çakışma"),"⚠ Kontrol Et","✓ Uygun"))</f>
        <v/>
      </c>
    </row>
    <row r="473" customFormat="false" ht="13.5" hidden="false" customHeight="true" outlineLevel="0" collapsed="false">
      <c r="A473" s="28" t="str">
        <f aca="false">IF('3-Turizm İşletmeciliği'!A70="","","Turizm İşletmeciliği")</f>
        <v/>
      </c>
      <c r="B473" s="28" t="str">
        <f aca="false">IF($A473="","",IF('3-Turizm İşletmeciliği'!A70="","",'3-Turizm İşletmeciliği'!A70))</f>
        <v/>
      </c>
      <c r="C473" s="29" t="str">
        <f aca="false">IF($A473="","",IF('3-Turizm İşletmeciliği'!B70="","",'3-Turizm İşletmeciliği'!B70))</f>
        <v/>
      </c>
      <c r="D473" s="28" t="str">
        <f aca="false">IF($A473="","",IF('3-Turizm İşletmeciliği'!C70="","",'3-Turizm İşletmeciliği'!C70))</f>
        <v/>
      </c>
      <c r="E473" s="28" t="str">
        <f aca="false">IF($A473="","",$A473&amp;"-"&amp;$D473)</f>
        <v/>
      </c>
      <c r="F473" s="28" t="str">
        <f aca="false">IF($A473="","",IF('3-Turizm İşletmeciliği'!D70="","",'3-Turizm İşletmeciliği'!D70))</f>
        <v/>
      </c>
      <c r="G473" s="28" t="str">
        <f aca="false">IF($A473="","",IF('3-Turizm İşletmeciliği'!E70="","",'3-Turizm İşletmeciliği'!E70))</f>
        <v/>
      </c>
      <c r="H473" s="28" t="str">
        <f aca="false">IF($A473="","",IF('3-Turizm İşletmeciliği'!F70="","",'3-Turizm İşletmeciliği'!F70))</f>
        <v/>
      </c>
      <c r="I473" s="28" t="str">
        <f aca="false">IF($A473="","",IF('3-Turizm İşletmeciliği'!G70="","",'3-Turizm İşletmeciliği'!G70))</f>
        <v/>
      </c>
      <c r="J473" s="28" t="str">
        <f aca="false">IF($A473="","",IF('3-Turizm İşletmeciliği'!H70="","",'3-Turizm İşletmeciliği'!H70))</f>
        <v/>
      </c>
      <c r="K473" s="28" t="str">
        <f aca="false">IF($A473="","",IF('3-Turizm İşletmeciliği'!I70="","",'3-Turizm İşletmeciliği'!I70))</f>
        <v/>
      </c>
      <c r="L473" s="28" t="str">
        <f aca="false">IF($I473="","",MATCH($I473,{"08.00";"09.00";"10.00";"11.00";"12.00";"13.00";"14.00";"15.00";"16.00";"17.00"},0))</f>
        <v/>
      </c>
      <c r="M473" s="28" t="str">
        <f aca="false">IF(OR($L473="",$J473=""),"",$L473+$J473-1)</f>
        <v/>
      </c>
      <c r="N473" s="28" t="str">
        <f aca="false">IF($A473="","",IF(OR($L473="",$M473=""),"",IF($M473&gt;10,"⚠ Saat Taşıyor","")))</f>
        <v/>
      </c>
      <c r="O473" s="28" t="str">
        <f aca="false">IF($A473="","",IF(OR($G473="",$H473="",$L473=""),"",IF(SUMPRODUCT(($A$7:$A$606&lt;&gt;"")*($G$7:$G$606=$G473)*($H$7:$H$606=$H473)*(ROW($A$7:$A$606)&lt;&gt;473)*($L$7:$L$606&lt;=$M473)*($M$7:$M$606&gt;=$L473))&gt;0,"⚠ Çakışma","OK")))</f>
        <v/>
      </c>
      <c r="P473" s="28" t="str">
        <f aca="false">IF($A473="","",IF(OR($K473="",$H473="",$L473=""),"",IF(SUMPRODUCT(($A$7:$A$606&lt;&gt;"")*($K$7:$K$606=$K473)*($H$7:$H$606=$H473)*(ROW($A$7:$A$606)&lt;&gt;473)*($L$7:$L$606&lt;=$M473)*($M$7:$M$606&gt;=$L473))&gt;0,"⚠ Çakışma","OK")))</f>
        <v/>
      </c>
      <c r="Q473" s="28" t="str">
        <f aca="false">IF($A473="","",IF(OR($E473="",$H473="",$L473=""),"",IF(SUMPRODUCT(($A$7:$A$606&lt;&gt;"")*($E$7:$E$606=$E473)*($H$7:$H$606=$H473)*(ROW($A$7:$A$606)&lt;&gt;473)*($L$7:$L$606&lt;=$M473)*($M$7:$M$606&gt;=$L473))&gt;0,"⚠ Çakışma","OK")))</f>
        <v/>
      </c>
      <c r="R473" s="28" t="str">
        <f aca="false">IF($A473="","",IF(OR($N473&lt;&gt;"",$O473="⚠ Çakışma",$P473="⚠ Çakışma",$Q473="⚠ Çakışma"),"⚠ Kontrol Et","✓ Uygun"))</f>
        <v/>
      </c>
    </row>
    <row r="474" customFormat="false" ht="13.5" hidden="false" customHeight="true" outlineLevel="0" collapsed="false">
      <c r="A474" s="28" t="str">
        <f aca="false">IF('3-Turizm İşletmeciliği'!A71="","","Turizm İşletmeciliği")</f>
        <v/>
      </c>
      <c r="B474" s="28" t="str">
        <f aca="false">IF($A474="","",IF('3-Turizm İşletmeciliği'!A71="","",'3-Turizm İşletmeciliği'!A71))</f>
        <v/>
      </c>
      <c r="C474" s="29" t="str">
        <f aca="false">IF($A474="","",IF('3-Turizm İşletmeciliği'!B71="","",'3-Turizm İşletmeciliği'!B71))</f>
        <v/>
      </c>
      <c r="D474" s="28" t="str">
        <f aca="false">IF($A474="","",IF('3-Turizm İşletmeciliği'!C71="","",'3-Turizm İşletmeciliği'!C71))</f>
        <v/>
      </c>
      <c r="E474" s="28" t="str">
        <f aca="false">IF($A474="","",$A474&amp;"-"&amp;$D474)</f>
        <v/>
      </c>
      <c r="F474" s="28" t="str">
        <f aca="false">IF($A474="","",IF('3-Turizm İşletmeciliği'!D71="","",'3-Turizm İşletmeciliği'!D71))</f>
        <v/>
      </c>
      <c r="G474" s="28" t="str">
        <f aca="false">IF($A474="","",IF('3-Turizm İşletmeciliği'!E71="","",'3-Turizm İşletmeciliği'!E71))</f>
        <v/>
      </c>
      <c r="H474" s="28" t="str">
        <f aca="false">IF($A474="","",IF('3-Turizm İşletmeciliği'!F71="","",'3-Turizm İşletmeciliği'!F71))</f>
        <v/>
      </c>
      <c r="I474" s="28" t="str">
        <f aca="false">IF($A474="","",IF('3-Turizm İşletmeciliği'!G71="","",'3-Turizm İşletmeciliği'!G71))</f>
        <v/>
      </c>
      <c r="J474" s="28" t="str">
        <f aca="false">IF($A474="","",IF('3-Turizm İşletmeciliği'!H71="","",'3-Turizm İşletmeciliği'!H71))</f>
        <v/>
      </c>
      <c r="K474" s="28" t="str">
        <f aca="false">IF($A474="","",IF('3-Turizm İşletmeciliği'!I71="","",'3-Turizm İşletmeciliği'!I71))</f>
        <v/>
      </c>
      <c r="L474" s="28" t="str">
        <f aca="false">IF($I474="","",MATCH($I474,{"08.00";"09.00";"10.00";"11.00";"12.00";"13.00";"14.00";"15.00";"16.00";"17.00"},0))</f>
        <v/>
      </c>
      <c r="M474" s="28" t="str">
        <f aca="false">IF(OR($L474="",$J474=""),"",$L474+$J474-1)</f>
        <v/>
      </c>
      <c r="N474" s="28" t="str">
        <f aca="false">IF($A474="","",IF(OR($L474="",$M474=""),"",IF($M474&gt;10,"⚠ Saat Taşıyor","")))</f>
        <v/>
      </c>
      <c r="O474" s="28" t="str">
        <f aca="false">IF($A474="","",IF(OR($G474="",$H474="",$L474=""),"",IF(SUMPRODUCT(($A$7:$A$606&lt;&gt;"")*($G$7:$G$606=$G474)*($H$7:$H$606=$H474)*(ROW($A$7:$A$606)&lt;&gt;474)*($L$7:$L$606&lt;=$M474)*($M$7:$M$606&gt;=$L474))&gt;0,"⚠ Çakışma","OK")))</f>
        <v/>
      </c>
      <c r="P474" s="28" t="str">
        <f aca="false">IF($A474="","",IF(OR($K474="",$H474="",$L474=""),"",IF(SUMPRODUCT(($A$7:$A$606&lt;&gt;"")*($K$7:$K$606=$K474)*($H$7:$H$606=$H474)*(ROW($A$7:$A$606)&lt;&gt;474)*($L$7:$L$606&lt;=$M474)*($M$7:$M$606&gt;=$L474))&gt;0,"⚠ Çakışma","OK")))</f>
        <v/>
      </c>
      <c r="Q474" s="28" t="str">
        <f aca="false">IF($A474="","",IF(OR($E474="",$H474="",$L474=""),"",IF(SUMPRODUCT(($A$7:$A$606&lt;&gt;"")*($E$7:$E$606=$E474)*($H$7:$H$606=$H474)*(ROW($A$7:$A$606)&lt;&gt;474)*($L$7:$L$606&lt;=$M474)*($M$7:$M$606&gt;=$L474))&gt;0,"⚠ Çakışma","OK")))</f>
        <v/>
      </c>
      <c r="R474" s="28" t="str">
        <f aca="false">IF($A474="","",IF(OR($N474&lt;&gt;"",$O474="⚠ Çakışma",$P474="⚠ Çakışma",$Q474="⚠ Çakışma"),"⚠ Kontrol Et","✓ Uygun"))</f>
        <v/>
      </c>
    </row>
    <row r="475" customFormat="false" ht="13.5" hidden="false" customHeight="true" outlineLevel="0" collapsed="false">
      <c r="A475" s="28" t="str">
        <f aca="false">IF('3-Turizm İşletmeciliği'!A72="","","Turizm İşletmeciliği")</f>
        <v/>
      </c>
      <c r="B475" s="28" t="str">
        <f aca="false">IF($A475="","",IF('3-Turizm İşletmeciliği'!A72="","",'3-Turizm İşletmeciliği'!A72))</f>
        <v/>
      </c>
      <c r="C475" s="29" t="str">
        <f aca="false">IF($A475="","",IF('3-Turizm İşletmeciliği'!B72="","",'3-Turizm İşletmeciliği'!B72))</f>
        <v/>
      </c>
      <c r="D475" s="28" t="str">
        <f aca="false">IF($A475="","",IF('3-Turizm İşletmeciliği'!C72="","",'3-Turizm İşletmeciliği'!C72))</f>
        <v/>
      </c>
      <c r="E475" s="28" t="str">
        <f aca="false">IF($A475="","",$A475&amp;"-"&amp;$D475)</f>
        <v/>
      </c>
      <c r="F475" s="28" t="str">
        <f aca="false">IF($A475="","",IF('3-Turizm İşletmeciliği'!D72="","",'3-Turizm İşletmeciliği'!D72))</f>
        <v/>
      </c>
      <c r="G475" s="28" t="str">
        <f aca="false">IF($A475="","",IF('3-Turizm İşletmeciliği'!E72="","",'3-Turizm İşletmeciliği'!E72))</f>
        <v/>
      </c>
      <c r="H475" s="28" t="str">
        <f aca="false">IF($A475="","",IF('3-Turizm İşletmeciliği'!F72="","",'3-Turizm İşletmeciliği'!F72))</f>
        <v/>
      </c>
      <c r="I475" s="28" t="str">
        <f aca="false">IF($A475="","",IF('3-Turizm İşletmeciliği'!G72="","",'3-Turizm İşletmeciliği'!G72))</f>
        <v/>
      </c>
      <c r="J475" s="28" t="str">
        <f aca="false">IF($A475="","",IF('3-Turizm İşletmeciliği'!H72="","",'3-Turizm İşletmeciliği'!H72))</f>
        <v/>
      </c>
      <c r="K475" s="28" t="str">
        <f aca="false">IF($A475="","",IF('3-Turizm İşletmeciliği'!I72="","",'3-Turizm İşletmeciliği'!I72))</f>
        <v/>
      </c>
      <c r="L475" s="28" t="str">
        <f aca="false">IF($I475="","",MATCH($I475,{"08.00";"09.00";"10.00";"11.00";"12.00";"13.00";"14.00";"15.00";"16.00";"17.00"},0))</f>
        <v/>
      </c>
      <c r="M475" s="28" t="str">
        <f aca="false">IF(OR($L475="",$J475=""),"",$L475+$J475-1)</f>
        <v/>
      </c>
      <c r="N475" s="28" t="str">
        <f aca="false">IF($A475="","",IF(OR($L475="",$M475=""),"",IF($M475&gt;10,"⚠ Saat Taşıyor","")))</f>
        <v/>
      </c>
      <c r="O475" s="28" t="str">
        <f aca="false">IF($A475="","",IF(OR($G475="",$H475="",$L475=""),"",IF(SUMPRODUCT(($A$7:$A$606&lt;&gt;"")*($G$7:$G$606=$G475)*($H$7:$H$606=$H475)*(ROW($A$7:$A$606)&lt;&gt;475)*($L$7:$L$606&lt;=$M475)*($M$7:$M$606&gt;=$L475))&gt;0,"⚠ Çakışma","OK")))</f>
        <v/>
      </c>
      <c r="P475" s="28" t="str">
        <f aca="false">IF($A475="","",IF(OR($K475="",$H475="",$L475=""),"",IF(SUMPRODUCT(($A$7:$A$606&lt;&gt;"")*($K$7:$K$606=$K475)*($H$7:$H$606=$H475)*(ROW($A$7:$A$606)&lt;&gt;475)*($L$7:$L$606&lt;=$M475)*($M$7:$M$606&gt;=$L475))&gt;0,"⚠ Çakışma","OK")))</f>
        <v/>
      </c>
      <c r="Q475" s="28" t="str">
        <f aca="false">IF($A475="","",IF(OR($E475="",$H475="",$L475=""),"",IF(SUMPRODUCT(($A$7:$A$606&lt;&gt;"")*($E$7:$E$606=$E475)*($H$7:$H$606=$H475)*(ROW($A$7:$A$606)&lt;&gt;475)*($L$7:$L$606&lt;=$M475)*($M$7:$M$606&gt;=$L475))&gt;0,"⚠ Çakışma","OK")))</f>
        <v/>
      </c>
      <c r="R475" s="28" t="str">
        <f aca="false">IF($A475="","",IF(OR($N475&lt;&gt;"",$O475="⚠ Çakışma",$P475="⚠ Çakışma",$Q475="⚠ Çakışma"),"⚠ Kontrol Et","✓ Uygun"))</f>
        <v/>
      </c>
    </row>
    <row r="476" customFormat="false" ht="13.5" hidden="false" customHeight="true" outlineLevel="0" collapsed="false">
      <c r="A476" s="28" t="str">
        <f aca="false">IF('3-Turizm İşletmeciliği'!A73="","","Turizm İşletmeciliği")</f>
        <v/>
      </c>
      <c r="B476" s="28" t="str">
        <f aca="false">IF($A476="","",IF('3-Turizm İşletmeciliği'!A73="","",'3-Turizm İşletmeciliği'!A73))</f>
        <v/>
      </c>
      <c r="C476" s="29" t="str">
        <f aca="false">IF($A476="","",IF('3-Turizm İşletmeciliği'!B73="","",'3-Turizm İşletmeciliği'!B73))</f>
        <v/>
      </c>
      <c r="D476" s="28" t="str">
        <f aca="false">IF($A476="","",IF('3-Turizm İşletmeciliği'!C73="","",'3-Turizm İşletmeciliği'!C73))</f>
        <v/>
      </c>
      <c r="E476" s="28" t="str">
        <f aca="false">IF($A476="","",$A476&amp;"-"&amp;$D476)</f>
        <v/>
      </c>
      <c r="F476" s="28" t="str">
        <f aca="false">IF($A476="","",IF('3-Turizm İşletmeciliği'!D73="","",'3-Turizm İşletmeciliği'!D73))</f>
        <v/>
      </c>
      <c r="G476" s="28" t="str">
        <f aca="false">IF($A476="","",IF('3-Turizm İşletmeciliği'!E73="","",'3-Turizm İşletmeciliği'!E73))</f>
        <v/>
      </c>
      <c r="H476" s="28" t="str">
        <f aca="false">IF($A476="","",IF('3-Turizm İşletmeciliği'!F73="","",'3-Turizm İşletmeciliği'!F73))</f>
        <v/>
      </c>
      <c r="I476" s="28" t="str">
        <f aca="false">IF($A476="","",IF('3-Turizm İşletmeciliği'!G73="","",'3-Turizm İşletmeciliği'!G73))</f>
        <v/>
      </c>
      <c r="J476" s="28" t="str">
        <f aca="false">IF($A476="","",IF('3-Turizm İşletmeciliği'!H73="","",'3-Turizm İşletmeciliği'!H73))</f>
        <v/>
      </c>
      <c r="K476" s="28" t="str">
        <f aca="false">IF($A476="","",IF('3-Turizm İşletmeciliği'!I73="","",'3-Turizm İşletmeciliği'!I73))</f>
        <v/>
      </c>
      <c r="L476" s="28" t="str">
        <f aca="false">IF($I476="","",MATCH($I476,{"08.00";"09.00";"10.00";"11.00";"12.00";"13.00";"14.00";"15.00";"16.00";"17.00"},0))</f>
        <v/>
      </c>
      <c r="M476" s="28" t="str">
        <f aca="false">IF(OR($L476="",$J476=""),"",$L476+$J476-1)</f>
        <v/>
      </c>
      <c r="N476" s="28" t="str">
        <f aca="false">IF($A476="","",IF(OR($L476="",$M476=""),"",IF($M476&gt;10,"⚠ Saat Taşıyor","")))</f>
        <v/>
      </c>
      <c r="O476" s="28" t="str">
        <f aca="false">IF($A476="","",IF(OR($G476="",$H476="",$L476=""),"",IF(SUMPRODUCT(($A$7:$A$606&lt;&gt;"")*($G$7:$G$606=$G476)*($H$7:$H$606=$H476)*(ROW($A$7:$A$606)&lt;&gt;476)*($L$7:$L$606&lt;=$M476)*($M$7:$M$606&gt;=$L476))&gt;0,"⚠ Çakışma","OK")))</f>
        <v/>
      </c>
      <c r="P476" s="28" t="str">
        <f aca="false">IF($A476="","",IF(OR($K476="",$H476="",$L476=""),"",IF(SUMPRODUCT(($A$7:$A$606&lt;&gt;"")*($K$7:$K$606=$K476)*($H$7:$H$606=$H476)*(ROW($A$7:$A$606)&lt;&gt;476)*($L$7:$L$606&lt;=$M476)*($M$7:$M$606&gt;=$L476))&gt;0,"⚠ Çakışma","OK")))</f>
        <v/>
      </c>
      <c r="Q476" s="28" t="str">
        <f aca="false">IF($A476="","",IF(OR($E476="",$H476="",$L476=""),"",IF(SUMPRODUCT(($A$7:$A$606&lt;&gt;"")*($E$7:$E$606=$E476)*($H$7:$H$606=$H476)*(ROW($A$7:$A$606)&lt;&gt;476)*($L$7:$L$606&lt;=$M476)*($M$7:$M$606&gt;=$L476))&gt;0,"⚠ Çakışma","OK")))</f>
        <v/>
      </c>
      <c r="R476" s="28" t="str">
        <f aca="false">IF($A476="","",IF(OR($N476&lt;&gt;"",$O476="⚠ Çakışma",$P476="⚠ Çakışma",$Q476="⚠ Çakışma"),"⚠ Kontrol Et","✓ Uygun"))</f>
        <v/>
      </c>
    </row>
    <row r="477" customFormat="false" ht="13.5" hidden="false" customHeight="true" outlineLevel="0" collapsed="false">
      <c r="A477" s="28" t="str">
        <f aca="false">IF('3-Turizm İşletmeciliği'!A74="","","Turizm İşletmeciliği")</f>
        <v/>
      </c>
      <c r="B477" s="28" t="str">
        <f aca="false">IF($A477="","",IF('3-Turizm İşletmeciliği'!A74="","",'3-Turizm İşletmeciliği'!A74))</f>
        <v/>
      </c>
      <c r="C477" s="29" t="str">
        <f aca="false">IF($A477="","",IF('3-Turizm İşletmeciliği'!B74="","",'3-Turizm İşletmeciliği'!B74))</f>
        <v/>
      </c>
      <c r="D477" s="28" t="str">
        <f aca="false">IF($A477="","",IF('3-Turizm İşletmeciliği'!C74="","",'3-Turizm İşletmeciliği'!C74))</f>
        <v/>
      </c>
      <c r="E477" s="28" t="str">
        <f aca="false">IF($A477="","",$A477&amp;"-"&amp;$D477)</f>
        <v/>
      </c>
      <c r="F477" s="28" t="str">
        <f aca="false">IF($A477="","",IF('3-Turizm İşletmeciliği'!D74="","",'3-Turizm İşletmeciliği'!D74))</f>
        <v/>
      </c>
      <c r="G477" s="28" t="str">
        <f aca="false">IF($A477="","",IF('3-Turizm İşletmeciliği'!E74="","",'3-Turizm İşletmeciliği'!E74))</f>
        <v/>
      </c>
      <c r="H477" s="28" t="str">
        <f aca="false">IF($A477="","",IF('3-Turizm İşletmeciliği'!F74="","",'3-Turizm İşletmeciliği'!F74))</f>
        <v/>
      </c>
      <c r="I477" s="28" t="str">
        <f aca="false">IF($A477="","",IF('3-Turizm İşletmeciliği'!G74="","",'3-Turizm İşletmeciliği'!G74))</f>
        <v/>
      </c>
      <c r="J477" s="28" t="str">
        <f aca="false">IF($A477="","",IF('3-Turizm İşletmeciliği'!H74="","",'3-Turizm İşletmeciliği'!H74))</f>
        <v/>
      </c>
      <c r="K477" s="28" t="str">
        <f aca="false">IF($A477="","",IF('3-Turizm İşletmeciliği'!I74="","",'3-Turizm İşletmeciliği'!I74))</f>
        <v/>
      </c>
      <c r="L477" s="28" t="str">
        <f aca="false">IF($I477="","",MATCH($I477,{"08.00";"09.00";"10.00";"11.00";"12.00";"13.00";"14.00";"15.00";"16.00";"17.00"},0))</f>
        <v/>
      </c>
      <c r="M477" s="28" t="str">
        <f aca="false">IF(OR($L477="",$J477=""),"",$L477+$J477-1)</f>
        <v/>
      </c>
      <c r="N477" s="28" t="str">
        <f aca="false">IF($A477="","",IF(OR($L477="",$M477=""),"",IF($M477&gt;10,"⚠ Saat Taşıyor","")))</f>
        <v/>
      </c>
      <c r="O477" s="28" t="str">
        <f aca="false">IF($A477="","",IF(OR($G477="",$H477="",$L477=""),"",IF(SUMPRODUCT(($A$7:$A$606&lt;&gt;"")*($G$7:$G$606=$G477)*($H$7:$H$606=$H477)*(ROW($A$7:$A$606)&lt;&gt;477)*($L$7:$L$606&lt;=$M477)*($M$7:$M$606&gt;=$L477))&gt;0,"⚠ Çakışma","OK")))</f>
        <v/>
      </c>
      <c r="P477" s="28" t="str">
        <f aca="false">IF($A477="","",IF(OR($K477="",$H477="",$L477=""),"",IF(SUMPRODUCT(($A$7:$A$606&lt;&gt;"")*($K$7:$K$606=$K477)*($H$7:$H$606=$H477)*(ROW($A$7:$A$606)&lt;&gt;477)*($L$7:$L$606&lt;=$M477)*($M$7:$M$606&gt;=$L477))&gt;0,"⚠ Çakışma","OK")))</f>
        <v/>
      </c>
      <c r="Q477" s="28" t="str">
        <f aca="false">IF($A477="","",IF(OR($E477="",$H477="",$L477=""),"",IF(SUMPRODUCT(($A$7:$A$606&lt;&gt;"")*($E$7:$E$606=$E477)*($H$7:$H$606=$H477)*(ROW($A$7:$A$606)&lt;&gt;477)*($L$7:$L$606&lt;=$M477)*($M$7:$M$606&gt;=$L477))&gt;0,"⚠ Çakışma","OK")))</f>
        <v/>
      </c>
      <c r="R477" s="28" t="str">
        <f aca="false">IF($A477="","",IF(OR($N477&lt;&gt;"",$O477="⚠ Çakışma",$P477="⚠ Çakışma",$Q477="⚠ Çakışma"),"⚠ Kontrol Et","✓ Uygun"))</f>
        <v/>
      </c>
    </row>
    <row r="478" customFormat="false" ht="13.5" hidden="false" customHeight="true" outlineLevel="0" collapsed="false">
      <c r="A478" s="28" t="str">
        <f aca="false">IF('3-Turizm İşletmeciliği'!A75="","","Turizm İşletmeciliği")</f>
        <v/>
      </c>
      <c r="B478" s="28" t="str">
        <f aca="false">IF($A478="","",IF('3-Turizm İşletmeciliği'!A75="","",'3-Turizm İşletmeciliği'!A75))</f>
        <v/>
      </c>
      <c r="C478" s="29" t="str">
        <f aca="false">IF($A478="","",IF('3-Turizm İşletmeciliği'!B75="","",'3-Turizm İşletmeciliği'!B75))</f>
        <v/>
      </c>
      <c r="D478" s="28" t="str">
        <f aca="false">IF($A478="","",IF('3-Turizm İşletmeciliği'!C75="","",'3-Turizm İşletmeciliği'!C75))</f>
        <v/>
      </c>
      <c r="E478" s="28" t="str">
        <f aca="false">IF($A478="","",$A478&amp;"-"&amp;$D478)</f>
        <v/>
      </c>
      <c r="F478" s="28" t="str">
        <f aca="false">IF($A478="","",IF('3-Turizm İşletmeciliği'!D75="","",'3-Turizm İşletmeciliği'!D75))</f>
        <v/>
      </c>
      <c r="G478" s="28" t="str">
        <f aca="false">IF($A478="","",IF('3-Turizm İşletmeciliği'!E75="","",'3-Turizm İşletmeciliği'!E75))</f>
        <v/>
      </c>
      <c r="H478" s="28" t="str">
        <f aca="false">IF($A478="","",IF('3-Turizm İşletmeciliği'!F75="","",'3-Turizm İşletmeciliği'!F75))</f>
        <v/>
      </c>
      <c r="I478" s="28" t="str">
        <f aca="false">IF($A478="","",IF('3-Turizm İşletmeciliği'!G75="","",'3-Turizm İşletmeciliği'!G75))</f>
        <v/>
      </c>
      <c r="J478" s="28" t="str">
        <f aca="false">IF($A478="","",IF('3-Turizm İşletmeciliği'!H75="","",'3-Turizm İşletmeciliği'!H75))</f>
        <v/>
      </c>
      <c r="K478" s="28" t="str">
        <f aca="false">IF($A478="","",IF('3-Turizm İşletmeciliği'!I75="","",'3-Turizm İşletmeciliği'!I75))</f>
        <v/>
      </c>
      <c r="L478" s="28" t="str">
        <f aca="false">IF($I478="","",MATCH($I478,{"08.00";"09.00";"10.00";"11.00";"12.00";"13.00";"14.00";"15.00";"16.00";"17.00"},0))</f>
        <v/>
      </c>
      <c r="M478" s="28" t="str">
        <f aca="false">IF(OR($L478="",$J478=""),"",$L478+$J478-1)</f>
        <v/>
      </c>
      <c r="N478" s="28" t="str">
        <f aca="false">IF($A478="","",IF(OR($L478="",$M478=""),"",IF($M478&gt;10,"⚠ Saat Taşıyor","")))</f>
        <v/>
      </c>
      <c r="O478" s="28" t="str">
        <f aca="false">IF($A478="","",IF(OR($G478="",$H478="",$L478=""),"",IF(SUMPRODUCT(($A$7:$A$606&lt;&gt;"")*($G$7:$G$606=$G478)*($H$7:$H$606=$H478)*(ROW($A$7:$A$606)&lt;&gt;478)*($L$7:$L$606&lt;=$M478)*($M$7:$M$606&gt;=$L478))&gt;0,"⚠ Çakışma","OK")))</f>
        <v/>
      </c>
      <c r="P478" s="28" t="str">
        <f aca="false">IF($A478="","",IF(OR($K478="",$H478="",$L478=""),"",IF(SUMPRODUCT(($A$7:$A$606&lt;&gt;"")*($K$7:$K$606=$K478)*($H$7:$H$606=$H478)*(ROW($A$7:$A$606)&lt;&gt;478)*($L$7:$L$606&lt;=$M478)*($M$7:$M$606&gt;=$L478))&gt;0,"⚠ Çakışma","OK")))</f>
        <v/>
      </c>
      <c r="Q478" s="28" t="str">
        <f aca="false">IF($A478="","",IF(OR($E478="",$H478="",$L478=""),"",IF(SUMPRODUCT(($A$7:$A$606&lt;&gt;"")*($E$7:$E$606=$E478)*($H$7:$H$606=$H478)*(ROW($A$7:$A$606)&lt;&gt;478)*($L$7:$L$606&lt;=$M478)*($M$7:$M$606&gt;=$L478))&gt;0,"⚠ Çakışma","OK")))</f>
        <v/>
      </c>
      <c r="R478" s="28" t="str">
        <f aca="false">IF($A478="","",IF(OR($N478&lt;&gt;"",$O478="⚠ Çakışma",$P478="⚠ Çakışma",$Q478="⚠ Çakışma"),"⚠ Kontrol Et","✓ Uygun"))</f>
        <v/>
      </c>
    </row>
    <row r="479" customFormat="false" ht="13.5" hidden="false" customHeight="true" outlineLevel="0" collapsed="false">
      <c r="A479" s="28" t="str">
        <f aca="false">IF('3-Turizm İşletmeciliği'!A76="","","Turizm İşletmeciliği")</f>
        <v/>
      </c>
      <c r="B479" s="28" t="str">
        <f aca="false">IF($A479="","",IF('3-Turizm İşletmeciliği'!A76="","",'3-Turizm İşletmeciliği'!A76))</f>
        <v/>
      </c>
      <c r="C479" s="29" t="str">
        <f aca="false">IF($A479="","",IF('3-Turizm İşletmeciliği'!B76="","",'3-Turizm İşletmeciliği'!B76))</f>
        <v/>
      </c>
      <c r="D479" s="28" t="str">
        <f aca="false">IF($A479="","",IF('3-Turizm İşletmeciliği'!C76="","",'3-Turizm İşletmeciliği'!C76))</f>
        <v/>
      </c>
      <c r="E479" s="28" t="str">
        <f aca="false">IF($A479="","",$A479&amp;"-"&amp;$D479)</f>
        <v/>
      </c>
      <c r="F479" s="28" t="str">
        <f aca="false">IF($A479="","",IF('3-Turizm İşletmeciliği'!D76="","",'3-Turizm İşletmeciliği'!D76))</f>
        <v/>
      </c>
      <c r="G479" s="28" t="str">
        <f aca="false">IF($A479="","",IF('3-Turizm İşletmeciliği'!E76="","",'3-Turizm İşletmeciliği'!E76))</f>
        <v/>
      </c>
      <c r="H479" s="28" t="str">
        <f aca="false">IF($A479="","",IF('3-Turizm İşletmeciliği'!F76="","",'3-Turizm İşletmeciliği'!F76))</f>
        <v/>
      </c>
      <c r="I479" s="28" t="str">
        <f aca="false">IF($A479="","",IF('3-Turizm İşletmeciliği'!G76="","",'3-Turizm İşletmeciliği'!G76))</f>
        <v/>
      </c>
      <c r="J479" s="28" t="str">
        <f aca="false">IF($A479="","",IF('3-Turizm İşletmeciliği'!H76="","",'3-Turizm İşletmeciliği'!H76))</f>
        <v/>
      </c>
      <c r="K479" s="28" t="str">
        <f aca="false">IF($A479="","",IF('3-Turizm İşletmeciliği'!I76="","",'3-Turizm İşletmeciliği'!I76))</f>
        <v/>
      </c>
      <c r="L479" s="28" t="str">
        <f aca="false">IF($I479="","",MATCH($I479,{"08.00";"09.00";"10.00";"11.00";"12.00";"13.00";"14.00";"15.00";"16.00";"17.00"},0))</f>
        <v/>
      </c>
      <c r="M479" s="28" t="str">
        <f aca="false">IF(OR($L479="",$J479=""),"",$L479+$J479-1)</f>
        <v/>
      </c>
      <c r="N479" s="28" t="str">
        <f aca="false">IF($A479="","",IF(OR($L479="",$M479=""),"",IF($M479&gt;10,"⚠ Saat Taşıyor","")))</f>
        <v/>
      </c>
      <c r="O479" s="28" t="str">
        <f aca="false">IF($A479="","",IF(OR($G479="",$H479="",$L479=""),"",IF(SUMPRODUCT(($A$7:$A$606&lt;&gt;"")*($G$7:$G$606=$G479)*($H$7:$H$606=$H479)*(ROW($A$7:$A$606)&lt;&gt;479)*($L$7:$L$606&lt;=$M479)*($M$7:$M$606&gt;=$L479))&gt;0,"⚠ Çakışma","OK")))</f>
        <v/>
      </c>
      <c r="P479" s="28" t="str">
        <f aca="false">IF($A479="","",IF(OR($K479="",$H479="",$L479=""),"",IF(SUMPRODUCT(($A$7:$A$606&lt;&gt;"")*($K$7:$K$606=$K479)*($H$7:$H$606=$H479)*(ROW($A$7:$A$606)&lt;&gt;479)*($L$7:$L$606&lt;=$M479)*($M$7:$M$606&gt;=$L479))&gt;0,"⚠ Çakışma","OK")))</f>
        <v/>
      </c>
      <c r="Q479" s="28" t="str">
        <f aca="false">IF($A479="","",IF(OR($E479="",$H479="",$L479=""),"",IF(SUMPRODUCT(($A$7:$A$606&lt;&gt;"")*($E$7:$E$606=$E479)*($H$7:$H$606=$H479)*(ROW($A$7:$A$606)&lt;&gt;479)*($L$7:$L$606&lt;=$M479)*($M$7:$M$606&gt;=$L479))&gt;0,"⚠ Çakışma","OK")))</f>
        <v/>
      </c>
      <c r="R479" s="28" t="str">
        <f aca="false">IF($A479="","",IF(OR($N479&lt;&gt;"",$O479="⚠ Çakışma",$P479="⚠ Çakışma",$Q479="⚠ Çakışma"),"⚠ Kontrol Et","✓ Uygun"))</f>
        <v/>
      </c>
    </row>
    <row r="480" customFormat="false" ht="13.5" hidden="false" customHeight="true" outlineLevel="0" collapsed="false">
      <c r="A480" s="28" t="str">
        <f aca="false">IF('3-Turizm İşletmeciliği'!A77="","","Turizm İşletmeciliği")</f>
        <v/>
      </c>
      <c r="B480" s="28" t="str">
        <f aca="false">IF($A480="","",IF('3-Turizm İşletmeciliği'!A77="","",'3-Turizm İşletmeciliği'!A77))</f>
        <v/>
      </c>
      <c r="C480" s="29" t="str">
        <f aca="false">IF($A480="","",IF('3-Turizm İşletmeciliği'!B77="","",'3-Turizm İşletmeciliği'!B77))</f>
        <v/>
      </c>
      <c r="D480" s="28" t="str">
        <f aca="false">IF($A480="","",IF('3-Turizm İşletmeciliği'!C77="","",'3-Turizm İşletmeciliği'!C77))</f>
        <v/>
      </c>
      <c r="E480" s="28" t="str">
        <f aca="false">IF($A480="","",$A480&amp;"-"&amp;$D480)</f>
        <v/>
      </c>
      <c r="F480" s="28" t="str">
        <f aca="false">IF($A480="","",IF('3-Turizm İşletmeciliği'!D77="","",'3-Turizm İşletmeciliği'!D77))</f>
        <v/>
      </c>
      <c r="G480" s="28" t="str">
        <f aca="false">IF($A480="","",IF('3-Turizm İşletmeciliği'!E77="","",'3-Turizm İşletmeciliği'!E77))</f>
        <v/>
      </c>
      <c r="H480" s="28" t="str">
        <f aca="false">IF($A480="","",IF('3-Turizm İşletmeciliği'!F77="","",'3-Turizm İşletmeciliği'!F77))</f>
        <v/>
      </c>
      <c r="I480" s="28" t="str">
        <f aca="false">IF($A480="","",IF('3-Turizm İşletmeciliği'!G77="","",'3-Turizm İşletmeciliği'!G77))</f>
        <v/>
      </c>
      <c r="J480" s="28" t="str">
        <f aca="false">IF($A480="","",IF('3-Turizm İşletmeciliği'!H77="","",'3-Turizm İşletmeciliği'!H77))</f>
        <v/>
      </c>
      <c r="K480" s="28" t="str">
        <f aca="false">IF($A480="","",IF('3-Turizm İşletmeciliği'!I77="","",'3-Turizm İşletmeciliği'!I77))</f>
        <v/>
      </c>
      <c r="L480" s="28" t="str">
        <f aca="false">IF($I480="","",MATCH($I480,{"08.00";"09.00";"10.00";"11.00";"12.00";"13.00";"14.00";"15.00";"16.00";"17.00"},0))</f>
        <v/>
      </c>
      <c r="M480" s="28" t="str">
        <f aca="false">IF(OR($L480="",$J480=""),"",$L480+$J480-1)</f>
        <v/>
      </c>
      <c r="N480" s="28" t="str">
        <f aca="false">IF($A480="","",IF(OR($L480="",$M480=""),"",IF($M480&gt;10,"⚠ Saat Taşıyor","")))</f>
        <v/>
      </c>
      <c r="O480" s="28" t="str">
        <f aca="false">IF($A480="","",IF(OR($G480="",$H480="",$L480=""),"",IF(SUMPRODUCT(($A$7:$A$606&lt;&gt;"")*($G$7:$G$606=$G480)*($H$7:$H$606=$H480)*(ROW($A$7:$A$606)&lt;&gt;480)*($L$7:$L$606&lt;=$M480)*($M$7:$M$606&gt;=$L480))&gt;0,"⚠ Çakışma","OK")))</f>
        <v/>
      </c>
      <c r="P480" s="28" t="str">
        <f aca="false">IF($A480="","",IF(OR($K480="",$H480="",$L480=""),"",IF(SUMPRODUCT(($A$7:$A$606&lt;&gt;"")*($K$7:$K$606=$K480)*($H$7:$H$606=$H480)*(ROW($A$7:$A$606)&lt;&gt;480)*($L$7:$L$606&lt;=$M480)*($M$7:$M$606&gt;=$L480))&gt;0,"⚠ Çakışma","OK")))</f>
        <v/>
      </c>
      <c r="Q480" s="28" t="str">
        <f aca="false">IF($A480="","",IF(OR($E480="",$H480="",$L480=""),"",IF(SUMPRODUCT(($A$7:$A$606&lt;&gt;"")*($E$7:$E$606=$E480)*($H$7:$H$606=$H480)*(ROW($A$7:$A$606)&lt;&gt;480)*($L$7:$L$606&lt;=$M480)*($M$7:$M$606&gt;=$L480))&gt;0,"⚠ Çakışma","OK")))</f>
        <v/>
      </c>
      <c r="R480" s="28" t="str">
        <f aca="false">IF($A480="","",IF(OR($N480&lt;&gt;"",$O480="⚠ Çakışma",$P480="⚠ Çakışma",$Q480="⚠ Çakışma"),"⚠ Kontrol Et","✓ Uygun"))</f>
        <v/>
      </c>
    </row>
    <row r="481" customFormat="false" ht="13.5" hidden="false" customHeight="true" outlineLevel="0" collapsed="false">
      <c r="A481" s="28" t="str">
        <f aca="false">IF('3-Turizm İşletmeciliği'!A78="","","Turizm İşletmeciliği")</f>
        <v/>
      </c>
      <c r="B481" s="28" t="str">
        <f aca="false">IF($A481="","",IF('3-Turizm İşletmeciliği'!A78="","",'3-Turizm İşletmeciliği'!A78))</f>
        <v/>
      </c>
      <c r="C481" s="29" t="str">
        <f aca="false">IF($A481="","",IF('3-Turizm İşletmeciliği'!B78="","",'3-Turizm İşletmeciliği'!B78))</f>
        <v/>
      </c>
      <c r="D481" s="28" t="str">
        <f aca="false">IF($A481="","",IF('3-Turizm İşletmeciliği'!C78="","",'3-Turizm İşletmeciliği'!C78))</f>
        <v/>
      </c>
      <c r="E481" s="28" t="str">
        <f aca="false">IF($A481="","",$A481&amp;"-"&amp;$D481)</f>
        <v/>
      </c>
      <c r="F481" s="28" t="str">
        <f aca="false">IF($A481="","",IF('3-Turizm İşletmeciliği'!D78="","",'3-Turizm İşletmeciliği'!D78))</f>
        <v/>
      </c>
      <c r="G481" s="28" t="str">
        <f aca="false">IF($A481="","",IF('3-Turizm İşletmeciliği'!E78="","",'3-Turizm İşletmeciliği'!E78))</f>
        <v/>
      </c>
      <c r="H481" s="28" t="str">
        <f aca="false">IF($A481="","",IF('3-Turizm İşletmeciliği'!F78="","",'3-Turizm İşletmeciliği'!F78))</f>
        <v/>
      </c>
      <c r="I481" s="28" t="str">
        <f aca="false">IF($A481="","",IF('3-Turizm İşletmeciliği'!G78="","",'3-Turizm İşletmeciliği'!G78))</f>
        <v/>
      </c>
      <c r="J481" s="28" t="str">
        <f aca="false">IF($A481="","",IF('3-Turizm İşletmeciliği'!H78="","",'3-Turizm İşletmeciliği'!H78))</f>
        <v/>
      </c>
      <c r="K481" s="28" t="str">
        <f aca="false">IF($A481="","",IF('3-Turizm İşletmeciliği'!I78="","",'3-Turizm İşletmeciliği'!I78))</f>
        <v/>
      </c>
      <c r="L481" s="28" t="str">
        <f aca="false">IF($I481="","",MATCH($I481,{"08.00";"09.00";"10.00";"11.00";"12.00";"13.00";"14.00";"15.00";"16.00";"17.00"},0))</f>
        <v/>
      </c>
      <c r="M481" s="28" t="str">
        <f aca="false">IF(OR($L481="",$J481=""),"",$L481+$J481-1)</f>
        <v/>
      </c>
      <c r="N481" s="28" t="str">
        <f aca="false">IF($A481="","",IF(OR($L481="",$M481=""),"",IF($M481&gt;10,"⚠ Saat Taşıyor","")))</f>
        <v/>
      </c>
      <c r="O481" s="28" t="str">
        <f aca="false">IF($A481="","",IF(OR($G481="",$H481="",$L481=""),"",IF(SUMPRODUCT(($A$7:$A$606&lt;&gt;"")*($G$7:$G$606=$G481)*($H$7:$H$606=$H481)*(ROW($A$7:$A$606)&lt;&gt;481)*($L$7:$L$606&lt;=$M481)*($M$7:$M$606&gt;=$L481))&gt;0,"⚠ Çakışma","OK")))</f>
        <v/>
      </c>
      <c r="P481" s="28" t="str">
        <f aca="false">IF($A481="","",IF(OR($K481="",$H481="",$L481=""),"",IF(SUMPRODUCT(($A$7:$A$606&lt;&gt;"")*($K$7:$K$606=$K481)*($H$7:$H$606=$H481)*(ROW($A$7:$A$606)&lt;&gt;481)*($L$7:$L$606&lt;=$M481)*($M$7:$M$606&gt;=$L481))&gt;0,"⚠ Çakışma","OK")))</f>
        <v/>
      </c>
      <c r="Q481" s="28" t="str">
        <f aca="false">IF($A481="","",IF(OR($E481="",$H481="",$L481=""),"",IF(SUMPRODUCT(($A$7:$A$606&lt;&gt;"")*($E$7:$E$606=$E481)*($H$7:$H$606=$H481)*(ROW($A$7:$A$606)&lt;&gt;481)*($L$7:$L$606&lt;=$M481)*($M$7:$M$606&gt;=$L481))&gt;0,"⚠ Çakışma","OK")))</f>
        <v/>
      </c>
      <c r="R481" s="28" t="str">
        <f aca="false">IF($A481="","",IF(OR($N481&lt;&gt;"",$O481="⚠ Çakışma",$P481="⚠ Çakışma",$Q481="⚠ Çakışma"),"⚠ Kontrol Et","✓ Uygun"))</f>
        <v/>
      </c>
    </row>
    <row r="482" customFormat="false" ht="13.5" hidden="false" customHeight="true" outlineLevel="0" collapsed="false">
      <c r="A482" s="28" t="str">
        <f aca="false">IF('3-Turizm İşletmeciliği'!A79="","","Turizm İşletmeciliği")</f>
        <v/>
      </c>
      <c r="B482" s="28" t="str">
        <f aca="false">IF($A482="","",IF('3-Turizm İşletmeciliği'!A79="","",'3-Turizm İşletmeciliği'!A79))</f>
        <v/>
      </c>
      <c r="C482" s="29" t="str">
        <f aca="false">IF($A482="","",IF('3-Turizm İşletmeciliği'!B79="","",'3-Turizm İşletmeciliği'!B79))</f>
        <v/>
      </c>
      <c r="D482" s="28" t="str">
        <f aca="false">IF($A482="","",IF('3-Turizm İşletmeciliği'!C79="","",'3-Turizm İşletmeciliği'!C79))</f>
        <v/>
      </c>
      <c r="E482" s="28" t="str">
        <f aca="false">IF($A482="","",$A482&amp;"-"&amp;$D482)</f>
        <v/>
      </c>
      <c r="F482" s="28" t="str">
        <f aca="false">IF($A482="","",IF('3-Turizm İşletmeciliği'!D79="","",'3-Turizm İşletmeciliği'!D79))</f>
        <v/>
      </c>
      <c r="G482" s="28" t="str">
        <f aca="false">IF($A482="","",IF('3-Turizm İşletmeciliği'!E79="","",'3-Turizm İşletmeciliği'!E79))</f>
        <v/>
      </c>
      <c r="H482" s="28" t="str">
        <f aca="false">IF($A482="","",IF('3-Turizm İşletmeciliği'!F79="","",'3-Turizm İşletmeciliği'!F79))</f>
        <v/>
      </c>
      <c r="I482" s="28" t="str">
        <f aca="false">IF($A482="","",IF('3-Turizm İşletmeciliği'!G79="","",'3-Turizm İşletmeciliği'!G79))</f>
        <v/>
      </c>
      <c r="J482" s="28" t="str">
        <f aca="false">IF($A482="","",IF('3-Turizm İşletmeciliği'!H79="","",'3-Turizm İşletmeciliği'!H79))</f>
        <v/>
      </c>
      <c r="K482" s="28" t="str">
        <f aca="false">IF($A482="","",IF('3-Turizm İşletmeciliği'!I79="","",'3-Turizm İşletmeciliği'!I79))</f>
        <v/>
      </c>
      <c r="L482" s="28" t="str">
        <f aca="false">IF($I482="","",MATCH($I482,{"08.00";"09.00";"10.00";"11.00";"12.00";"13.00";"14.00";"15.00";"16.00";"17.00"},0))</f>
        <v/>
      </c>
      <c r="M482" s="28" t="str">
        <f aca="false">IF(OR($L482="",$J482=""),"",$L482+$J482-1)</f>
        <v/>
      </c>
      <c r="N482" s="28" t="str">
        <f aca="false">IF($A482="","",IF(OR($L482="",$M482=""),"",IF($M482&gt;10,"⚠ Saat Taşıyor","")))</f>
        <v/>
      </c>
      <c r="O482" s="28" t="str">
        <f aca="false">IF($A482="","",IF(OR($G482="",$H482="",$L482=""),"",IF(SUMPRODUCT(($A$7:$A$606&lt;&gt;"")*($G$7:$G$606=$G482)*($H$7:$H$606=$H482)*(ROW($A$7:$A$606)&lt;&gt;482)*($L$7:$L$606&lt;=$M482)*($M$7:$M$606&gt;=$L482))&gt;0,"⚠ Çakışma","OK")))</f>
        <v/>
      </c>
      <c r="P482" s="28" t="str">
        <f aca="false">IF($A482="","",IF(OR($K482="",$H482="",$L482=""),"",IF(SUMPRODUCT(($A$7:$A$606&lt;&gt;"")*($K$7:$K$606=$K482)*($H$7:$H$606=$H482)*(ROW($A$7:$A$606)&lt;&gt;482)*($L$7:$L$606&lt;=$M482)*($M$7:$M$606&gt;=$L482))&gt;0,"⚠ Çakışma","OK")))</f>
        <v/>
      </c>
      <c r="Q482" s="28" t="str">
        <f aca="false">IF($A482="","",IF(OR($E482="",$H482="",$L482=""),"",IF(SUMPRODUCT(($A$7:$A$606&lt;&gt;"")*($E$7:$E$606=$E482)*($H$7:$H$606=$H482)*(ROW($A$7:$A$606)&lt;&gt;482)*($L$7:$L$606&lt;=$M482)*($M$7:$M$606&gt;=$L482))&gt;0,"⚠ Çakışma","OK")))</f>
        <v/>
      </c>
      <c r="R482" s="28" t="str">
        <f aca="false">IF($A482="","",IF(OR($N482&lt;&gt;"",$O482="⚠ Çakışma",$P482="⚠ Çakışma",$Q482="⚠ Çakışma"),"⚠ Kontrol Et","✓ Uygun"))</f>
        <v/>
      </c>
    </row>
    <row r="483" customFormat="false" ht="13.5" hidden="false" customHeight="true" outlineLevel="0" collapsed="false">
      <c r="A483" s="28" t="str">
        <f aca="false">IF('3-Turizm İşletmeciliği'!A80="","","Turizm İşletmeciliği")</f>
        <v/>
      </c>
      <c r="B483" s="28" t="str">
        <f aca="false">IF($A483="","",IF('3-Turizm İşletmeciliği'!A80="","",'3-Turizm İşletmeciliği'!A80))</f>
        <v/>
      </c>
      <c r="C483" s="29" t="str">
        <f aca="false">IF($A483="","",IF('3-Turizm İşletmeciliği'!B80="","",'3-Turizm İşletmeciliği'!B80))</f>
        <v/>
      </c>
      <c r="D483" s="28" t="str">
        <f aca="false">IF($A483="","",IF('3-Turizm İşletmeciliği'!C80="","",'3-Turizm İşletmeciliği'!C80))</f>
        <v/>
      </c>
      <c r="E483" s="28" t="str">
        <f aca="false">IF($A483="","",$A483&amp;"-"&amp;$D483)</f>
        <v/>
      </c>
      <c r="F483" s="28" t="str">
        <f aca="false">IF($A483="","",IF('3-Turizm İşletmeciliği'!D80="","",'3-Turizm İşletmeciliği'!D80))</f>
        <v/>
      </c>
      <c r="G483" s="28" t="str">
        <f aca="false">IF($A483="","",IF('3-Turizm İşletmeciliği'!E80="","",'3-Turizm İşletmeciliği'!E80))</f>
        <v/>
      </c>
      <c r="H483" s="28" t="str">
        <f aca="false">IF($A483="","",IF('3-Turizm İşletmeciliği'!F80="","",'3-Turizm İşletmeciliği'!F80))</f>
        <v/>
      </c>
      <c r="I483" s="28" t="str">
        <f aca="false">IF($A483="","",IF('3-Turizm İşletmeciliği'!G80="","",'3-Turizm İşletmeciliği'!G80))</f>
        <v/>
      </c>
      <c r="J483" s="28" t="str">
        <f aca="false">IF($A483="","",IF('3-Turizm İşletmeciliği'!H80="","",'3-Turizm İşletmeciliği'!H80))</f>
        <v/>
      </c>
      <c r="K483" s="28" t="str">
        <f aca="false">IF($A483="","",IF('3-Turizm İşletmeciliği'!I80="","",'3-Turizm İşletmeciliği'!I80))</f>
        <v/>
      </c>
      <c r="L483" s="28" t="str">
        <f aca="false">IF($I483="","",MATCH($I483,{"08.00";"09.00";"10.00";"11.00";"12.00";"13.00";"14.00";"15.00";"16.00";"17.00"},0))</f>
        <v/>
      </c>
      <c r="M483" s="28" t="str">
        <f aca="false">IF(OR($L483="",$J483=""),"",$L483+$J483-1)</f>
        <v/>
      </c>
      <c r="N483" s="28" t="str">
        <f aca="false">IF($A483="","",IF(OR($L483="",$M483=""),"",IF($M483&gt;10,"⚠ Saat Taşıyor","")))</f>
        <v/>
      </c>
      <c r="O483" s="28" t="str">
        <f aca="false">IF($A483="","",IF(OR($G483="",$H483="",$L483=""),"",IF(SUMPRODUCT(($A$7:$A$606&lt;&gt;"")*($G$7:$G$606=$G483)*($H$7:$H$606=$H483)*(ROW($A$7:$A$606)&lt;&gt;483)*($L$7:$L$606&lt;=$M483)*($M$7:$M$606&gt;=$L483))&gt;0,"⚠ Çakışma","OK")))</f>
        <v/>
      </c>
      <c r="P483" s="28" t="str">
        <f aca="false">IF($A483="","",IF(OR($K483="",$H483="",$L483=""),"",IF(SUMPRODUCT(($A$7:$A$606&lt;&gt;"")*($K$7:$K$606=$K483)*($H$7:$H$606=$H483)*(ROW($A$7:$A$606)&lt;&gt;483)*($L$7:$L$606&lt;=$M483)*($M$7:$M$606&gt;=$L483))&gt;0,"⚠ Çakışma","OK")))</f>
        <v/>
      </c>
      <c r="Q483" s="28" t="str">
        <f aca="false">IF($A483="","",IF(OR($E483="",$H483="",$L483=""),"",IF(SUMPRODUCT(($A$7:$A$606&lt;&gt;"")*($E$7:$E$606=$E483)*($H$7:$H$606=$H483)*(ROW($A$7:$A$606)&lt;&gt;483)*($L$7:$L$606&lt;=$M483)*($M$7:$M$606&gt;=$L483))&gt;0,"⚠ Çakışma","OK")))</f>
        <v/>
      </c>
      <c r="R483" s="28" t="str">
        <f aca="false">IF($A483="","",IF(OR($N483&lt;&gt;"",$O483="⚠ Çakışma",$P483="⚠ Çakışma",$Q483="⚠ Çakışma"),"⚠ Kontrol Et","✓ Uygun"))</f>
        <v/>
      </c>
    </row>
    <row r="484" customFormat="false" ht="13.5" hidden="false" customHeight="true" outlineLevel="0" collapsed="false">
      <c r="A484" s="28" t="str">
        <f aca="false">IF('3-Turizm İşletmeciliği'!A81="","","Turizm İşletmeciliği")</f>
        <v/>
      </c>
      <c r="B484" s="28" t="str">
        <f aca="false">IF($A484="","",IF('3-Turizm İşletmeciliği'!A81="","",'3-Turizm İşletmeciliği'!A81))</f>
        <v/>
      </c>
      <c r="C484" s="29" t="str">
        <f aca="false">IF($A484="","",IF('3-Turizm İşletmeciliği'!B81="","",'3-Turizm İşletmeciliği'!B81))</f>
        <v/>
      </c>
      <c r="D484" s="28" t="str">
        <f aca="false">IF($A484="","",IF('3-Turizm İşletmeciliği'!C81="","",'3-Turizm İşletmeciliği'!C81))</f>
        <v/>
      </c>
      <c r="E484" s="28" t="str">
        <f aca="false">IF($A484="","",$A484&amp;"-"&amp;$D484)</f>
        <v/>
      </c>
      <c r="F484" s="28" t="str">
        <f aca="false">IF($A484="","",IF('3-Turizm İşletmeciliği'!D81="","",'3-Turizm İşletmeciliği'!D81))</f>
        <v/>
      </c>
      <c r="G484" s="28" t="str">
        <f aca="false">IF($A484="","",IF('3-Turizm İşletmeciliği'!E81="","",'3-Turizm İşletmeciliği'!E81))</f>
        <v/>
      </c>
      <c r="H484" s="28" t="str">
        <f aca="false">IF($A484="","",IF('3-Turizm İşletmeciliği'!F81="","",'3-Turizm İşletmeciliği'!F81))</f>
        <v/>
      </c>
      <c r="I484" s="28" t="str">
        <f aca="false">IF($A484="","",IF('3-Turizm İşletmeciliği'!G81="","",'3-Turizm İşletmeciliği'!G81))</f>
        <v/>
      </c>
      <c r="J484" s="28" t="str">
        <f aca="false">IF($A484="","",IF('3-Turizm İşletmeciliği'!H81="","",'3-Turizm İşletmeciliği'!H81))</f>
        <v/>
      </c>
      <c r="K484" s="28" t="str">
        <f aca="false">IF($A484="","",IF('3-Turizm İşletmeciliği'!I81="","",'3-Turizm İşletmeciliği'!I81))</f>
        <v/>
      </c>
      <c r="L484" s="28" t="str">
        <f aca="false">IF($I484="","",MATCH($I484,{"08.00";"09.00";"10.00";"11.00";"12.00";"13.00";"14.00";"15.00";"16.00";"17.00"},0))</f>
        <v/>
      </c>
      <c r="M484" s="28" t="str">
        <f aca="false">IF(OR($L484="",$J484=""),"",$L484+$J484-1)</f>
        <v/>
      </c>
      <c r="N484" s="28" t="str">
        <f aca="false">IF($A484="","",IF(OR($L484="",$M484=""),"",IF($M484&gt;10,"⚠ Saat Taşıyor","")))</f>
        <v/>
      </c>
      <c r="O484" s="28" t="str">
        <f aca="false">IF($A484="","",IF(OR($G484="",$H484="",$L484=""),"",IF(SUMPRODUCT(($A$7:$A$606&lt;&gt;"")*($G$7:$G$606=$G484)*($H$7:$H$606=$H484)*(ROW($A$7:$A$606)&lt;&gt;484)*($L$7:$L$606&lt;=$M484)*($M$7:$M$606&gt;=$L484))&gt;0,"⚠ Çakışma","OK")))</f>
        <v/>
      </c>
      <c r="P484" s="28" t="str">
        <f aca="false">IF($A484="","",IF(OR($K484="",$H484="",$L484=""),"",IF(SUMPRODUCT(($A$7:$A$606&lt;&gt;"")*($K$7:$K$606=$K484)*($H$7:$H$606=$H484)*(ROW($A$7:$A$606)&lt;&gt;484)*($L$7:$L$606&lt;=$M484)*($M$7:$M$606&gt;=$L484))&gt;0,"⚠ Çakışma","OK")))</f>
        <v/>
      </c>
      <c r="Q484" s="28" t="str">
        <f aca="false">IF($A484="","",IF(OR($E484="",$H484="",$L484=""),"",IF(SUMPRODUCT(($A$7:$A$606&lt;&gt;"")*($E$7:$E$606=$E484)*($H$7:$H$606=$H484)*(ROW($A$7:$A$606)&lt;&gt;484)*($L$7:$L$606&lt;=$M484)*($M$7:$M$606&gt;=$L484))&gt;0,"⚠ Çakışma","OK")))</f>
        <v/>
      </c>
      <c r="R484" s="28" t="str">
        <f aca="false">IF($A484="","",IF(OR($N484&lt;&gt;"",$O484="⚠ Çakışma",$P484="⚠ Çakışma",$Q484="⚠ Çakışma"),"⚠ Kontrol Et","✓ Uygun"))</f>
        <v/>
      </c>
    </row>
    <row r="485" customFormat="false" ht="13.5" hidden="false" customHeight="true" outlineLevel="0" collapsed="false">
      <c r="A485" s="28" t="str">
        <f aca="false">IF('3-Turizm İşletmeciliği'!A82="","","Turizm İşletmeciliği")</f>
        <v/>
      </c>
      <c r="B485" s="28" t="str">
        <f aca="false">IF($A485="","",IF('3-Turizm İşletmeciliği'!A82="","",'3-Turizm İşletmeciliği'!A82))</f>
        <v/>
      </c>
      <c r="C485" s="29" t="str">
        <f aca="false">IF($A485="","",IF('3-Turizm İşletmeciliği'!B82="","",'3-Turizm İşletmeciliği'!B82))</f>
        <v/>
      </c>
      <c r="D485" s="28" t="str">
        <f aca="false">IF($A485="","",IF('3-Turizm İşletmeciliği'!C82="","",'3-Turizm İşletmeciliği'!C82))</f>
        <v/>
      </c>
      <c r="E485" s="28" t="str">
        <f aca="false">IF($A485="","",$A485&amp;"-"&amp;$D485)</f>
        <v/>
      </c>
      <c r="F485" s="28" t="str">
        <f aca="false">IF($A485="","",IF('3-Turizm İşletmeciliği'!D82="","",'3-Turizm İşletmeciliği'!D82))</f>
        <v/>
      </c>
      <c r="G485" s="28" t="str">
        <f aca="false">IF($A485="","",IF('3-Turizm İşletmeciliği'!E82="","",'3-Turizm İşletmeciliği'!E82))</f>
        <v/>
      </c>
      <c r="H485" s="28" t="str">
        <f aca="false">IF($A485="","",IF('3-Turizm İşletmeciliği'!F82="","",'3-Turizm İşletmeciliği'!F82))</f>
        <v/>
      </c>
      <c r="I485" s="28" t="str">
        <f aca="false">IF($A485="","",IF('3-Turizm İşletmeciliği'!G82="","",'3-Turizm İşletmeciliği'!G82))</f>
        <v/>
      </c>
      <c r="J485" s="28" t="str">
        <f aca="false">IF($A485="","",IF('3-Turizm İşletmeciliği'!H82="","",'3-Turizm İşletmeciliği'!H82))</f>
        <v/>
      </c>
      <c r="K485" s="28" t="str">
        <f aca="false">IF($A485="","",IF('3-Turizm İşletmeciliği'!I82="","",'3-Turizm İşletmeciliği'!I82))</f>
        <v/>
      </c>
      <c r="L485" s="28" t="str">
        <f aca="false">IF($I485="","",MATCH($I485,{"08.00";"09.00";"10.00";"11.00";"12.00";"13.00";"14.00";"15.00";"16.00";"17.00"},0))</f>
        <v/>
      </c>
      <c r="M485" s="28" t="str">
        <f aca="false">IF(OR($L485="",$J485=""),"",$L485+$J485-1)</f>
        <v/>
      </c>
      <c r="N485" s="28" t="str">
        <f aca="false">IF($A485="","",IF(OR($L485="",$M485=""),"",IF($M485&gt;10,"⚠ Saat Taşıyor","")))</f>
        <v/>
      </c>
      <c r="O485" s="28" t="str">
        <f aca="false">IF($A485="","",IF(OR($G485="",$H485="",$L485=""),"",IF(SUMPRODUCT(($A$7:$A$606&lt;&gt;"")*($G$7:$G$606=$G485)*($H$7:$H$606=$H485)*(ROW($A$7:$A$606)&lt;&gt;485)*($L$7:$L$606&lt;=$M485)*($M$7:$M$606&gt;=$L485))&gt;0,"⚠ Çakışma","OK")))</f>
        <v/>
      </c>
      <c r="P485" s="28" t="str">
        <f aca="false">IF($A485="","",IF(OR($K485="",$H485="",$L485=""),"",IF(SUMPRODUCT(($A$7:$A$606&lt;&gt;"")*($K$7:$K$606=$K485)*($H$7:$H$606=$H485)*(ROW($A$7:$A$606)&lt;&gt;485)*($L$7:$L$606&lt;=$M485)*($M$7:$M$606&gt;=$L485))&gt;0,"⚠ Çakışma","OK")))</f>
        <v/>
      </c>
      <c r="Q485" s="28" t="str">
        <f aca="false">IF($A485="","",IF(OR($E485="",$H485="",$L485=""),"",IF(SUMPRODUCT(($A$7:$A$606&lt;&gt;"")*($E$7:$E$606=$E485)*($H$7:$H$606=$H485)*(ROW($A$7:$A$606)&lt;&gt;485)*($L$7:$L$606&lt;=$M485)*($M$7:$M$606&gt;=$L485))&gt;0,"⚠ Çakışma","OK")))</f>
        <v/>
      </c>
      <c r="R485" s="28" t="str">
        <f aca="false">IF($A485="","",IF(OR($N485&lt;&gt;"",$O485="⚠ Çakışma",$P485="⚠ Çakışma",$Q485="⚠ Çakışma"),"⚠ Kontrol Et","✓ Uygun"))</f>
        <v/>
      </c>
    </row>
    <row r="486" customFormat="false" ht="13.5" hidden="false" customHeight="true" outlineLevel="0" collapsed="false">
      <c r="A486" s="28" t="str">
        <f aca="false">IF('3-Turizm İşletmeciliği'!A83="","","Turizm İşletmeciliği")</f>
        <v/>
      </c>
      <c r="B486" s="28" t="str">
        <f aca="false">IF($A486="","",IF('3-Turizm İşletmeciliği'!A83="","",'3-Turizm İşletmeciliği'!A83))</f>
        <v/>
      </c>
      <c r="C486" s="29" t="str">
        <f aca="false">IF($A486="","",IF('3-Turizm İşletmeciliği'!B83="","",'3-Turizm İşletmeciliği'!B83))</f>
        <v/>
      </c>
      <c r="D486" s="28" t="str">
        <f aca="false">IF($A486="","",IF('3-Turizm İşletmeciliği'!C83="","",'3-Turizm İşletmeciliği'!C83))</f>
        <v/>
      </c>
      <c r="E486" s="28" t="str">
        <f aca="false">IF($A486="","",$A486&amp;"-"&amp;$D486)</f>
        <v/>
      </c>
      <c r="F486" s="28" t="str">
        <f aca="false">IF($A486="","",IF('3-Turizm İşletmeciliği'!D83="","",'3-Turizm İşletmeciliği'!D83))</f>
        <v/>
      </c>
      <c r="G486" s="28" t="str">
        <f aca="false">IF($A486="","",IF('3-Turizm İşletmeciliği'!E83="","",'3-Turizm İşletmeciliği'!E83))</f>
        <v/>
      </c>
      <c r="H486" s="28" t="str">
        <f aca="false">IF($A486="","",IF('3-Turizm İşletmeciliği'!F83="","",'3-Turizm İşletmeciliği'!F83))</f>
        <v/>
      </c>
      <c r="I486" s="28" t="str">
        <f aca="false">IF($A486="","",IF('3-Turizm İşletmeciliği'!G83="","",'3-Turizm İşletmeciliği'!G83))</f>
        <v/>
      </c>
      <c r="J486" s="28" t="str">
        <f aca="false">IF($A486="","",IF('3-Turizm İşletmeciliği'!H83="","",'3-Turizm İşletmeciliği'!H83))</f>
        <v/>
      </c>
      <c r="K486" s="28" t="str">
        <f aca="false">IF($A486="","",IF('3-Turizm İşletmeciliği'!I83="","",'3-Turizm İşletmeciliği'!I83))</f>
        <v/>
      </c>
      <c r="L486" s="28" t="str">
        <f aca="false">IF($I486="","",MATCH($I486,{"08.00";"09.00";"10.00";"11.00";"12.00";"13.00";"14.00";"15.00";"16.00";"17.00"},0))</f>
        <v/>
      </c>
      <c r="M486" s="28" t="str">
        <f aca="false">IF(OR($L486="",$J486=""),"",$L486+$J486-1)</f>
        <v/>
      </c>
      <c r="N486" s="28" t="str">
        <f aca="false">IF($A486="","",IF(OR($L486="",$M486=""),"",IF($M486&gt;10,"⚠ Saat Taşıyor","")))</f>
        <v/>
      </c>
      <c r="O486" s="28" t="str">
        <f aca="false">IF($A486="","",IF(OR($G486="",$H486="",$L486=""),"",IF(SUMPRODUCT(($A$7:$A$606&lt;&gt;"")*($G$7:$G$606=$G486)*($H$7:$H$606=$H486)*(ROW($A$7:$A$606)&lt;&gt;486)*($L$7:$L$606&lt;=$M486)*($M$7:$M$606&gt;=$L486))&gt;0,"⚠ Çakışma","OK")))</f>
        <v/>
      </c>
      <c r="P486" s="28" t="str">
        <f aca="false">IF($A486="","",IF(OR($K486="",$H486="",$L486=""),"",IF(SUMPRODUCT(($A$7:$A$606&lt;&gt;"")*($K$7:$K$606=$K486)*($H$7:$H$606=$H486)*(ROW($A$7:$A$606)&lt;&gt;486)*($L$7:$L$606&lt;=$M486)*($M$7:$M$606&gt;=$L486))&gt;0,"⚠ Çakışma","OK")))</f>
        <v/>
      </c>
      <c r="Q486" s="28" t="str">
        <f aca="false">IF($A486="","",IF(OR($E486="",$H486="",$L486=""),"",IF(SUMPRODUCT(($A$7:$A$606&lt;&gt;"")*($E$7:$E$606=$E486)*($H$7:$H$606=$H486)*(ROW($A$7:$A$606)&lt;&gt;486)*($L$7:$L$606&lt;=$M486)*($M$7:$M$606&gt;=$L486))&gt;0,"⚠ Çakışma","OK")))</f>
        <v/>
      </c>
      <c r="R486" s="28" t="str">
        <f aca="false">IF($A486="","",IF(OR($N486&lt;&gt;"",$O486="⚠ Çakışma",$P486="⚠ Çakışma",$Q486="⚠ Çakışma"),"⚠ Kontrol Et","✓ Uygun"))</f>
        <v/>
      </c>
    </row>
    <row r="487" customFormat="false" ht="13.5" hidden="false" customHeight="true" outlineLevel="0" collapsed="false">
      <c r="A487" s="28" t="str">
        <f aca="false">IF('3-Turizm İşletmeciliği'!A84="","","Turizm İşletmeciliği")</f>
        <v/>
      </c>
      <c r="B487" s="28" t="str">
        <f aca="false">IF($A487="","",IF('3-Turizm İşletmeciliği'!A84="","",'3-Turizm İşletmeciliği'!A84))</f>
        <v/>
      </c>
      <c r="C487" s="29" t="str">
        <f aca="false">IF($A487="","",IF('3-Turizm İşletmeciliği'!B84="","",'3-Turizm İşletmeciliği'!B84))</f>
        <v/>
      </c>
      <c r="D487" s="28" t="str">
        <f aca="false">IF($A487="","",IF('3-Turizm İşletmeciliği'!C84="","",'3-Turizm İşletmeciliği'!C84))</f>
        <v/>
      </c>
      <c r="E487" s="28" t="str">
        <f aca="false">IF($A487="","",$A487&amp;"-"&amp;$D487)</f>
        <v/>
      </c>
      <c r="F487" s="28" t="str">
        <f aca="false">IF($A487="","",IF('3-Turizm İşletmeciliği'!D84="","",'3-Turizm İşletmeciliği'!D84))</f>
        <v/>
      </c>
      <c r="G487" s="28" t="str">
        <f aca="false">IF($A487="","",IF('3-Turizm İşletmeciliği'!E84="","",'3-Turizm İşletmeciliği'!E84))</f>
        <v/>
      </c>
      <c r="H487" s="28" t="str">
        <f aca="false">IF($A487="","",IF('3-Turizm İşletmeciliği'!F84="","",'3-Turizm İşletmeciliği'!F84))</f>
        <v/>
      </c>
      <c r="I487" s="28" t="str">
        <f aca="false">IF($A487="","",IF('3-Turizm İşletmeciliği'!G84="","",'3-Turizm İşletmeciliği'!G84))</f>
        <v/>
      </c>
      <c r="J487" s="28" t="str">
        <f aca="false">IF($A487="","",IF('3-Turizm İşletmeciliği'!H84="","",'3-Turizm İşletmeciliği'!H84))</f>
        <v/>
      </c>
      <c r="K487" s="28" t="str">
        <f aca="false">IF($A487="","",IF('3-Turizm İşletmeciliği'!I84="","",'3-Turizm İşletmeciliği'!I84))</f>
        <v/>
      </c>
      <c r="L487" s="28" t="str">
        <f aca="false">IF($I487="","",MATCH($I487,{"08.00";"09.00";"10.00";"11.00";"12.00";"13.00";"14.00";"15.00";"16.00";"17.00"},0))</f>
        <v/>
      </c>
      <c r="M487" s="28" t="str">
        <f aca="false">IF(OR($L487="",$J487=""),"",$L487+$J487-1)</f>
        <v/>
      </c>
      <c r="N487" s="28" t="str">
        <f aca="false">IF($A487="","",IF(OR($L487="",$M487=""),"",IF($M487&gt;10,"⚠ Saat Taşıyor","")))</f>
        <v/>
      </c>
      <c r="O487" s="28" t="str">
        <f aca="false">IF($A487="","",IF(OR($G487="",$H487="",$L487=""),"",IF(SUMPRODUCT(($A$7:$A$606&lt;&gt;"")*($G$7:$G$606=$G487)*($H$7:$H$606=$H487)*(ROW($A$7:$A$606)&lt;&gt;487)*($L$7:$L$606&lt;=$M487)*($M$7:$M$606&gt;=$L487))&gt;0,"⚠ Çakışma","OK")))</f>
        <v/>
      </c>
      <c r="P487" s="28" t="str">
        <f aca="false">IF($A487="","",IF(OR($K487="",$H487="",$L487=""),"",IF(SUMPRODUCT(($A$7:$A$606&lt;&gt;"")*($K$7:$K$606=$K487)*($H$7:$H$606=$H487)*(ROW($A$7:$A$606)&lt;&gt;487)*($L$7:$L$606&lt;=$M487)*($M$7:$M$606&gt;=$L487))&gt;0,"⚠ Çakışma","OK")))</f>
        <v/>
      </c>
      <c r="Q487" s="28" t="str">
        <f aca="false">IF($A487="","",IF(OR($E487="",$H487="",$L487=""),"",IF(SUMPRODUCT(($A$7:$A$606&lt;&gt;"")*($E$7:$E$606=$E487)*($H$7:$H$606=$H487)*(ROW($A$7:$A$606)&lt;&gt;487)*($L$7:$L$606&lt;=$M487)*($M$7:$M$606&gt;=$L487))&gt;0,"⚠ Çakışma","OK")))</f>
        <v/>
      </c>
      <c r="R487" s="28" t="str">
        <f aca="false">IF($A487="","",IF(OR($N487&lt;&gt;"",$O487="⚠ Çakışma",$P487="⚠ Çakışma",$Q487="⚠ Çakışma"),"⚠ Kontrol Et","✓ Uygun"))</f>
        <v/>
      </c>
    </row>
    <row r="488" customFormat="false" ht="13.5" hidden="false" customHeight="true" outlineLevel="0" collapsed="false">
      <c r="A488" s="28" t="str">
        <f aca="false">IF('3-Turizm İşletmeciliği'!A85="","","Turizm İşletmeciliği")</f>
        <v/>
      </c>
      <c r="B488" s="28" t="str">
        <f aca="false">IF($A488="","",IF('3-Turizm İşletmeciliği'!A85="","",'3-Turizm İşletmeciliği'!A85))</f>
        <v/>
      </c>
      <c r="C488" s="29" t="str">
        <f aca="false">IF($A488="","",IF('3-Turizm İşletmeciliği'!B85="","",'3-Turizm İşletmeciliği'!B85))</f>
        <v/>
      </c>
      <c r="D488" s="28" t="str">
        <f aca="false">IF($A488="","",IF('3-Turizm İşletmeciliği'!C85="","",'3-Turizm İşletmeciliği'!C85))</f>
        <v/>
      </c>
      <c r="E488" s="28" t="str">
        <f aca="false">IF($A488="","",$A488&amp;"-"&amp;$D488)</f>
        <v/>
      </c>
      <c r="F488" s="28" t="str">
        <f aca="false">IF($A488="","",IF('3-Turizm İşletmeciliği'!D85="","",'3-Turizm İşletmeciliği'!D85))</f>
        <v/>
      </c>
      <c r="G488" s="28" t="str">
        <f aca="false">IF($A488="","",IF('3-Turizm İşletmeciliği'!E85="","",'3-Turizm İşletmeciliği'!E85))</f>
        <v/>
      </c>
      <c r="H488" s="28" t="str">
        <f aca="false">IF($A488="","",IF('3-Turizm İşletmeciliği'!F85="","",'3-Turizm İşletmeciliği'!F85))</f>
        <v/>
      </c>
      <c r="I488" s="28" t="str">
        <f aca="false">IF($A488="","",IF('3-Turizm İşletmeciliği'!G85="","",'3-Turizm İşletmeciliği'!G85))</f>
        <v/>
      </c>
      <c r="J488" s="28" t="str">
        <f aca="false">IF($A488="","",IF('3-Turizm İşletmeciliği'!H85="","",'3-Turizm İşletmeciliği'!H85))</f>
        <v/>
      </c>
      <c r="K488" s="28" t="str">
        <f aca="false">IF($A488="","",IF('3-Turizm İşletmeciliği'!I85="","",'3-Turizm İşletmeciliği'!I85))</f>
        <v/>
      </c>
      <c r="L488" s="28" t="str">
        <f aca="false">IF($I488="","",MATCH($I488,{"08.00";"09.00";"10.00";"11.00";"12.00";"13.00";"14.00";"15.00";"16.00";"17.00"},0))</f>
        <v/>
      </c>
      <c r="M488" s="28" t="str">
        <f aca="false">IF(OR($L488="",$J488=""),"",$L488+$J488-1)</f>
        <v/>
      </c>
      <c r="N488" s="28" t="str">
        <f aca="false">IF($A488="","",IF(OR($L488="",$M488=""),"",IF($M488&gt;10,"⚠ Saat Taşıyor","")))</f>
        <v/>
      </c>
      <c r="O488" s="28" t="str">
        <f aca="false">IF($A488="","",IF(OR($G488="",$H488="",$L488=""),"",IF(SUMPRODUCT(($A$7:$A$606&lt;&gt;"")*($G$7:$G$606=$G488)*($H$7:$H$606=$H488)*(ROW($A$7:$A$606)&lt;&gt;488)*($L$7:$L$606&lt;=$M488)*($M$7:$M$606&gt;=$L488))&gt;0,"⚠ Çakışma","OK")))</f>
        <v/>
      </c>
      <c r="P488" s="28" t="str">
        <f aca="false">IF($A488="","",IF(OR($K488="",$H488="",$L488=""),"",IF(SUMPRODUCT(($A$7:$A$606&lt;&gt;"")*($K$7:$K$606=$K488)*($H$7:$H$606=$H488)*(ROW($A$7:$A$606)&lt;&gt;488)*($L$7:$L$606&lt;=$M488)*($M$7:$M$606&gt;=$L488))&gt;0,"⚠ Çakışma","OK")))</f>
        <v/>
      </c>
      <c r="Q488" s="28" t="str">
        <f aca="false">IF($A488="","",IF(OR($E488="",$H488="",$L488=""),"",IF(SUMPRODUCT(($A$7:$A$606&lt;&gt;"")*($E$7:$E$606=$E488)*($H$7:$H$606=$H488)*(ROW($A$7:$A$606)&lt;&gt;488)*($L$7:$L$606&lt;=$M488)*($M$7:$M$606&gt;=$L488))&gt;0,"⚠ Çakışma","OK")))</f>
        <v/>
      </c>
      <c r="R488" s="28" t="str">
        <f aca="false">IF($A488="","",IF(OR($N488&lt;&gt;"",$O488="⚠ Çakışma",$P488="⚠ Çakışma",$Q488="⚠ Çakışma"),"⚠ Kontrol Et","✓ Uygun"))</f>
        <v/>
      </c>
    </row>
    <row r="489" customFormat="false" ht="13.5" hidden="false" customHeight="true" outlineLevel="0" collapsed="false">
      <c r="A489" s="28" t="str">
        <f aca="false">IF('3-Turizm İşletmeciliği'!A86="","","Turizm İşletmeciliği")</f>
        <v/>
      </c>
      <c r="B489" s="28" t="str">
        <f aca="false">IF($A489="","",IF('3-Turizm İşletmeciliği'!A86="","",'3-Turizm İşletmeciliği'!A86))</f>
        <v/>
      </c>
      <c r="C489" s="29" t="str">
        <f aca="false">IF($A489="","",IF('3-Turizm İşletmeciliği'!B86="","",'3-Turizm İşletmeciliği'!B86))</f>
        <v/>
      </c>
      <c r="D489" s="28" t="str">
        <f aca="false">IF($A489="","",IF('3-Turizm İşletmeciliği'!C86="","",'3-Turizm İşletmeciliği'!C86))</f>
        <v/>
      </c>
      <c r="E489" s="28" t="str">
        <f aca="false">IF($A489="","",$A489&amp;"-"&amp;$D489)</f>
        <v/>
      </c>
      <c r="F489" s="28" t="str">
        <f aca="false">IF($A489="","",IF('3-Turizm İşletmeciliği'!D86="","",'3-Turizm İşletmeciliği'!D86))</f>
        <v/>
      </c>
      <c r="G489" s="28" t="str">
        <f aca="false">IF($A489="","",IF('3-Turizm İşletmeciliği'!E86="","",'3-Turizm İşletmeciliği'!E86))</f>
        <v/>
      </c>
      <c r="H489" s="28" t="str">
        <f aca="false">IF($A489="","",IF('3-Turizm İşletmeciliği'!F86="","",'3-Turizm İşletmeciliği'!F86))</f>
        <v/>
      </c>
      <c r="I489" s="28" t="str">
        <f aca="false">IF($A489="","",IF('3-Turizm İşletmeciliği'!G86="","",'3-Turizm İşletmeciliği'!G86))</f>
        <v/>
      </c>
      <c r="J489" s="28" t="str">
        <f aca="false">IF($A489="","",IF('3-Turizm İşletmeciliği'!H86="","",'3-Turizm İşletmeciliği'!H86))</f>
        <v/>
      </c>
      <c r="K489" s="28" t="str">
        <f aca="false">IF($A489="","",IF('3-Turizm İşletmeciliği'!I86="","",'3-Turizm İşletmeciliği'!I86))</f>
        <v/>
      </c>
      <c r="L489" s="28" t="str">
        <f aca="false">IF($I489="","",MATCH($I489,{"08.00";"09.00";"10.00";"11.00";"12.00";"13.00";"14.00";"15.00";"16.00";"17.00"},0))</f>
        <v/>
      </c>
      <c r="M489" s="28" t="str">
        <f aca="false">IF(OR($L489="",$J489=""),"",$L489+$J489-1)</f>
        <v/>
      </c>
      <c r="N489" s="28" t="str">
        <f aca="false">IF($A489="","",IF(OR($L489="",$M489=""),"",IF($M489&gt;10,"⚠ Saat Taşıyor","")))</f>
        <v/>
      </c>
      <c r="O489" s="28" t="str">
        <f aca="false">IF($A489="","",IF(OR($G489="",$H489="",$L489=""),"",IF(SUMPRODUCT(($A$7:$A$606&lt;&gt;"")*($G$7:$G$606=$G489)*($H$7:$H$606=$H489)*(ROW($A$7:$A$606)&lt;&gt;489)*($L$7:$L$606&lt;=$M489)*($M$7:$M$606&gt;=$L489))&gt;0,"⚠ Çakışma","OK")))</f>
        <v/>
      </c>
      <c r="P489" s="28" t="str">
        <f aca="false">IF($A489="","",IF(OR($K489="",$H489="",$L489=""),"",IF(SUMPRODUCT(($A$7:$A$606&lt;&gt;"")*($K$7:$K$606=$K489)*($H$7:$H$606=$H489)*(ROW($A$7:$A$606)&lt;&gt;489)*($L$7:$L$606&lt;=$M489)*($M$7:$M$606&gt;=$L489))&gt;0,"⚠ Çakışma","OK")))</f>
        <v/>
      </c>
      <c r="Q489" s="28" t="str">
        <f aca="false">IF($A489="","",IF(OR($E489="",$H489="",$L489=""),"",IF(SUMPRODUCT(($A$7:$A$606&lt;&gt;"")*($E$7:$E$606=$E489)*($H$7:$H$606=$H489)*(ROW($A$7:$A$606)&lt;&gt;489)*($L$7:$L$606&lt;=$M489)*($M$7:$M$606&gt;=$L489))&gt;0,"⚠ Çakışma","OK")))</f>
        <v/>
      </c>
      <c r="R489" s="28" t="str">
        <f aca="false">IF($A489="","",IF(OR($N489&lt;&gt;"",$O489="⚠ Çakışma",$P489="⚠ Çakışma",$Q489="⚠ Çakışma"),"⚠ Kontrol Et","✓ Uygun"))</f>
        <v/>
      </c>
    </row>
    <row r="490" customFormat="false" ht="13.5" hidden="false" customHeight="true" outlineLevel="0" collapsed="false">
      <c r="A490" s="28" t="str">
        <f aca="false">IF('3-Turizm İşletmeciliği'!A87="","","Turizm İşletmeciliği")</f>
        <v/>
      </c>
      <c r="B490" s="28" t="str">
        <f aca="false">IF($A490="","",IF('3-Turizm İşletmeciliği'!A87="","",'3-Turizm İşletmeciliği'!A87))</f>
        <v/>
      </c>
      <c r="C490" s="29" t="str">
        <f aca="false">IF($A490="","",IF('3-Turizm İşletmeciliği'!B87="","",'3-Turizm İşletmeciliği'!B87))</f>
        <v/>
      </c>
      <c r="D490" s="28" t="str">
        <f aca="false">IF($A490="","",IF('3-Turizm İşletmeciliği'!C87="","",'3-Turizm İşletmeciliği'!C87))</f>
        <v/>
      </c>
      <c r="E490" s="28" t="str">
        <f aca="false">IF($A490="","",$A490&amp;"-"&amp;$D490)</f>
        <v/>
      </c>
      <c r="F490" s="28" t="str">
        <f aca="false">IF($A490="","",IF('3-Turizm İşletmeciliği'!D87="","",'3-Turizm İşletmeciliği'!D87))</f>
        <v/>
      </c>
      <c r="G490" s="28" t="str">
        <f aca="false">IF($A490="","",IF('3-Turizm İşletmeciliği'!E87="","",'3-Turizm İşletmeciliği'!E87))</f>
        <v/>
      </c>
      <c r="H490" s="28" t="str">
        <f aca="false">IF($A490="","",IF('3-Turizm İşletmeciliği'!F87="","",'3-Turizm İşletmeciliği'!F87))</f>
        <v/>
      </c>
      <c r="I490" s="28" t="str">
        <f aca="false">IF($A490="","",IF('3-Turizm İşletmeciliği'!G87="","",'3-Turizm İşletmeciliği'!G87))</f>
        <v/>
      </c>
      <c r="J490" s="28" t="str">
        <f aca="false">IF($A490="","",IF('3-Turizm İşletmeciliği'!H87="","",'3-Turizm İşletmeciliği'!H87))</f>
        <v/>
      </c>
      <c r="K490" s="28" t="str">
        <f aca="false">IF($A490="","",IF('3-Turizm İşletmeciliği'!I87="","",'3-Turizm İşletmeciliği'!I87))</f>
        <v/>
      </c>
      <c r="L490" s="28" t="str">
        <f aca="false">IF($I490="","",MATCH($I490,{"08.00";"09.00";"10.00";"11.00";"12.00";"13.00";"14.00";"15.00";"16.00";"17.00"},0))</f>
        <v/>
      </c>
      <c r="M490" s="28" t="str">
        <f aca="false">IF(OR($L490="",$J490=""),"",$L490+$J490-1)</f>
        <v/>
      </c>
      <c r="N490" s="28" t="str">
        <f aca="false">IF($A490="","",IF(OR($L490="",$M490=""),"",IF($M490&gt;10,"⚠ Saat Taşıyor","")))</f>
        <v/>
      </c>
      <c r="O490" s="28" t="str">
        <f aca="false">IF($A490="","",IF(OR($G490="",$H490="",$L490=""),"",IF(SUMPRODUCT(($A$7:$A$606&lt;&gt;"")*($G$7:$G$606=$G490)*($H$7:$H$606=$H490)*(ROW($A$7:$A$606)&lt;&gt;490)*($L$7:$L$606&lt;=$M490)*($M$7:$M$606&gt;=$L490))&gt;0,"⚠ Çakışma","OK")))</f>
        <v/>
      </c>
      <c r="P490" s="28" t="str">
        <f aca="false">IF($A490="","",IF(OR($K490="",$H490="",$L490=""),"",IF(SUMPRODUCT(($A$7:$A$606&lt;&gt;"")*($K$7:$K$606=$K490)*($H$7:$H$606=$H490)*(ROW($A$7:$A$606)&lt;&gt;490)*($L$7:$L$606&lt;=$M490)*($M$7:$M$606&gt;=$L490))&gt;0,"⚠ Çakışma","OK")))</f>
        <v/>
      </c>
      <c r="Q490" s="28" t="str">
        <f aca="false">IF($A490="","",IF(OR($E490="",$H490="",$L490=""),"",IF(SUMPRODUCT(($A$7:$A$606&lt;&gt;"")*($E$7:$E$606=$E490)*($H$7:$H$606=$H490)*(ROW($A$7:$A$606)&lt;&gt;490)*($L$7:$L$606&lt;=$M490)*($M$7:$M$606&gt;=$L490))&gt;0,"⚠ Çakışma","OK")))</f>
        <v/>
      </c>
      <c r="R490" s="28" t="str">
        <f aca="false">IF($A490="","",IF(OR($N490&lt;&gt;"",$O490="⚠ Çakışma",$P490="⚠ Çakışma",$Q490="⚠ Çakışma"),"⚠ Kontrol Et","✓ Uygun"))</f>
        <v/>
      </c>
    </row>
    <row r="491" customFormat="false" ht="13.5" hidden="false" customHeight="true" outlineLevel="0" collapsed="false">
      <c r="A491" s="28" t="str">
        <f aca="false">IF('3-Turizm İşletmeciliği'!A88="","","Turizm İşletmeciliği")</f>
        <v/>
      </c>
      <c r="B491" s="28" t="str">
        <f aca="false">IF($A491="","",IF('3-Turizm İşletmeciliği'!A88="","",'3-Turizm İşletmeciliği'!A88))</f>
        <v/>
      </c>
      <c r="C491" s="29" t="str">
        <f aca="false">IF($A491="","",IF('3-Turizm İşletmeciliği'!B88="","",'3-Turizm İşletmeciliği'!B88))</f>
        <v/>
      </c>
      <c r="D491" s="28" t="str">
        <f aca="false">IF($A491="","",IF('3-Turizm İşletmeciliği'!C88="","",'3-Turizm İşletmeciliği'!C88))</f>
        <v/>
      </c>
      <c r="E491" s="28" t="str">
        <f aca="false">IF($A491="","",$A491&amp;"-"&amp;$D491)</f>
        <v/>
      </c>
      <c r="F491" s="28" t="str">
        <f aca="false">IF($A491="","",IF('3-Turizm İşletmeciliği'!D88="","",'3-Turizm İşletmeciliği'!D88))</f>
        <v/>
      </c>
      <c r="G491" s="28" t="str">
        <f aca="false">IF($A491="","",IF('3-Turizm İşletmeciliği'!E88="","",'3-Turizm İşletmeciliği'!E88))</f>
        <v/>
      </c>
      <c r="H491" s="28" t="str">
        <f aca="false">IF($A491="","",IF('3-Turizm İşletmeciliği'!F88="","",'3-Turizm İşletmeciliği'!F88))</f>
        <v/>
      </c>
      <c r="I491" s="28" t="str">
        <f aca="false">IF($A491="","",IF('3-Turizm İşletmeciliği'!G88="","",'3-Turizm İşletmeciliği'!G88))</f>
        <v/>
      </c>
      <c r="J491" s="28" t="str">
        <f aca="false">IF($A491="","",IF('3-Turizm İşletmeciliği'!H88="","",'3-Turizm İşletmeciliği'!H88))</f>
        <v/>
      </c>
      <c r="K491" s="28" t="str">
        <f aca="false">IF($A491="","",IF('3-Turizm İşletmeciliği'!I88="","",'3-Turizm İşletmeciliği'!I88))</f>
        <v/>
      </c>
      <c r="L491" s="28" t="str">
        <f aca="false">IF($I491="","",MATCH($I491,{"08.00";"09.00";"10.00";"11.00";"12.00";"13.00";"14.00";"15.00";"16.00";"17.00"},0))</f>
        <v/>
      </c>
      <c r="M491" s="28" t="str">
        <f aca="false">IF(OR($L491="",$J491=""),"",$L491+$J491-1)</f>
        <v/>
      </c>
      <c r="N491" s="28" t="str">
        <f aca="false">IF($A491="","",IF(OR($L491="",$M491=""),"",IF($M491&gt;10,"⚠ Saat Taşıyor","")))</f>
        <v/>
      </c>
      <c r="O491" s="28" t="str">
        <f aca="false">IF($A491="","",IF(OR($G491="",$H491="",$L491=""),"",IF(SUMPRODUCT(($A$7:$A$606&lt;&gt;"")*($G$7:$G$606=$G491)*($H$7:$H$606=$H491)*(ROW($A$7:$A$606)&lt;&gt;491)*($L$7:$L$606&lt;=$M491)*($M$7:$M$606&gt;=$L491))&gt;0,"⚠ Çakışma","OK")))</f>
        <v/>
      </c>
      <c r="P491" s="28" t="str">
        <f aca="false">IF($A491="","",IF(OR($K491="",$H491="",$L491=""),"",IF(SUMPRODUCT(($A$7:$A$606&lt;&gt;"")*($K$7:$K$606=$K491)*($H$7:$H$606=$H491)*(ROW($A$7:$A$606)&lt;&gt;491)*($L$7:$L$606&lt;=$M491)*($M$7:$M$606&gt;=$L491))&gt;0,"⚠ Çakışma","OK")))</f>
        <v/>
      </c>
      <c r="Q491" s="28" t="str">
        <f aca="false">IF($A491="","",IF(OR($E491="",$H491="",$L491=""),"",IF(SUMPRODUCT(($A$7:$A$606&lt;&gt;"")*($E$7:$E$606=$E491)*($H$7:$H$606=$H491)*(ROW($A$7:$A$606)&lt;&gt;491)*($L$7:$L$606&lt;=$M491)*($M$7:$M$606&gt;=$L491))&gt;0,"⚠ Çakışma","OK")))</f>
        <v/>
      </c>
      <c r="R491" s="28" t="str">
        <f aca="false">IF($A491="","",IF(OR($N491&lt;&gt;"",$O491="⚠ Çakışma",$P491="⚠ Çakışma",$Q491="⚠ Çakışma"),"⚠ Kontrol Et","✓ Uygun"))</f>
        <v/>
      </c>
    </row>
    <row r="492" customFormat="false" ht="13.5" hidden="false" customHeight="true" outlineLevel="0" collapsed="false">
      <c r="A492" s="28" t="str">
        <f aca="false">IF('3-Turizm İşletmeciliği'!A89="","","Turizm İşletmeciliği")</f>
        <v/>
      </c>
      <c r="B492" s="28" t="str">
        <f aca="false">IF($A492="","",IF('3-Turizm İşletmeciliği'!A89="","",'3-Turizm İşletmeciliği'!A89))</f>
        <v/>
      </c>
      <c r="C492" s="29" t="str">
        <f aca="false">IF($A492="","",IF('3-Turizm İşletmeciliği'!B89="","",'3-Turizm İşletmeciliği'!B89))</f>
        <v/>
      </c>
      <c r="D492" s="28" t="str">
        <f aca="false">IF($A492="","",IF('3-Turizm İşletmeciliği'!C89="","",'3-Turizm İşletmeciliği'!C89))</f>
        <v/>
      </c>
      <c r="E492" s="28" t="str">
        <f aca="false">IF($A492="","",$A492&amp;"-"&amp;$D492)</f>
        <v/>
      </c>
      <c r="F492" s="28" t="str">
        <f aca="false">IF($A492="","",IF('3-Turizm İşletmeciliği'!D89="","",'3-Turizm İşletmeciliği'!D89))</f>
        <v/>
      </c>
      <c r="G492" s="28" t="str">
        <f aca="false">IF($A492="","",IF('3-Turizm İşletmeciliği'!E89="","",'3-Turizm İşletmeciliği'!E89))</f>
        <v/>
      </c>
      <c r="H492" s="28" t="str">
        <f aca="false">IF($A492="","",IF('3-Turizm İşletmeciliği'!F89="","",'3-Turizm İşletmeciliği'!F89))</f>
        <v/>
      </c>
      <c r="I492" s="28" t="str">
        <f aca="false">IF($A492="","",IF('3-Turizm İşletmeciliği'!G89="","",'3-Turizm İşletmeciliği'!G89))</f>
        <v/>
      </c>
      <c r="J492" s="28" t="str">
        <f aca="false">IF($A492="","",IF('3-Turizm İşletmeciliği'!H89="","",'3-Turizm İşletmeciliği'!H89))</f>
        <v/>
      </c>
      <c r="K492" s="28" t="str">
        <f aca="false">IF($A492="","",IF('3-Turizm İşletmeciliği'!I89="","",'3-Turizm İşletmeciliği'!I89))</f>
        <v/>
      </c>
      <c r="L492" s="28" t="str">
        <f aca="false">IF($I492="","",MATCH($I492,{"08.00";"09.00";"10.00";"11.00";"12.00";"13.00";"14.00";"15.00";"16.00";"17.00"},0))</f>
        <v/>
      </c>
      <c r="M492" s="28" t="str">
        <f aca="false">IF(OR($L492="",$J492=""),"",$L492+$J492-1)</f>
        <v/>
      </c>
      <c r="N492" s="28" t="str">
        <f aca="false">IF($A492="","",IF(OR($L492="",$M492=""),"",IF($M492&gt;10,"⚠ Saat Taşıyor","")))</f>
        <v/>
      </c>
      <c r="O492" s="28" t="str">
        <f aca="false">IF($A492="","",IF(OR($G492="",$H492="",$L492=""),"",IF(SUMPRODUCT(($A$7:$A$606&lt;&gt;"")*($G$7:$G$606=$G492)*($H$7:$H$606=$H492)*(ROW($A$7:$A$606)&lt;&gt;492)*($L$7:$L$606&lt;=$M492)*($M$7:$M$606&gt;=$L492))&gt;0,"⚠ Çakışma","OK")))</f>
        <v/>
      </c>
      <c r="P492" s="28" t="str">
        <f aca="false">IF($A492="","",IF(OR($K492="",$H492="",$L492=""),"",IF(SUMPRODUCT(($A$7:$A$606&lt;&gt;"")*($K$7:$K$606=$K492)*($H$7:$H$606=$H492)*(ROW($A$7:$A$606)&lt;&gt;492)*($L$7:$L$606&lt;=$M492)*($M$7:$M$606&gt;=$L492))&gt;0,"⚠ Çakışma","OK")))</f>
        <v/>
      </c>
      <c r="Q492" s="28" t="str">
        <f aca="false">IF($A492="","",IF(OR($E492="",$H492="",$L492=""),"",IF(SUMPRODUCT(($A$7:$A$606&lt;&gt;"")*($E$7:$E$606=$E492)*($H$7:$H$606=$H492)*(ROW($A$7:$A$606)&lt;&gt;492)*($L$7:$L$606&lt;=$M492)*($M$7:$M$606&gt;=$L492))&gt;0,"⚠ Çakışma","OK")))</f>
        <v/>
      </c>
      <c r="R492" s="28" t="str">
        <f aca="false">IF($A492="","",IF(OR($N492&lt;&gt;"",$O492="⚠ Çakışma",$P492="⚠ Çakışma",$Q492="⚠ Çakışma"),"⚠ Kontrol Et","✓ Uygun"))</f>
        <v/>
      </c>
    </row>
    <row r="493" customFormat="false" ht="13.5" hidden="false" customHeight="true" outlineLevel="0" collapsed="false">
      <c r="A493" s="28" t="str">
        <f aca="false">IF('3-Turizm İşletmeciliği'!A90="","","Turizm İşletmeciliği")</f>
        <v/>
      </c>
      <c r="B493" s="28" t="str">
        <f aca="false">IF($A493="","",IF('3-Turizm İşletmeciliği'!A90="","",'3-Turizm İşletmeciliği'!A90))</f>
        <v/>
      </c>
      <c r="C493" s="29" t="str">
        <f aca="false">IF($A493="","",IF('3-Turizm İşletmeciliği'!B90="","",'3-Turizm İşletmeciliği'!B90))</f>
        <v/>
      </c>
      <c r="D493" s="28" t="str">
        <f aca="false">IF($A493="","",IF('3-Turizm İşletmeciliği'!C90="","",'3-Turizm İşletmeciliği'!C90))</f>
        <v/>
      </c>
      <c r="E493" s="28" t="str">
        <f aca="false">IF($A493="","",$A493&amp;"-"&amp;$D493)</f>
        <v/>
      </c>
      <c r="F493" s="28" t="str">
        <f aca="false">IF($A493="","",IF('3-Turizm İşletmeciliği'!D90="","",'3-Turizm İşletmeciliği'!D90))</f>
        <v/>
      </c>
      <c r="G493" s="28" t="str">
        <f aca="false">IF($A493="","",IF('3-Turizm İşletmeciliği'!E90="","",'3-Turizm İşletmeciliği'!E90))</f>
        <v/>
      </c>
      <c r="H493" s="28" t="str">
        <f aca="false">IF($A493="","",IF('3-Turizm İşletmeciliği'!F90="","",'3-Turizm İşletmeciliği'!F90))</f>
        <v/>
      </c>
      <c r="I493" s="28" t="str">
        <f aca="false">IF($A493="","",IF('3-Turizm İşletmeciliği'!G90="","",'3-Turizm İşletmeciliği'!G90))</f>
        <v/>
      </c>
      <c r="J493" s="28" t="str">
        <f aca="false">IF($A493="","",IF('3-Turizm İşletmeciliği'!H90="","",'3-Turizm İşletmeciliği'!H90))</f>
        <v/>
      </c>
      <c r="K493" s="28" t="str">
        <f aca="false">IF($A493="","",IF('3-Turizm İşletmeciliği'!I90="","",'3-Turizm İşletmeciliği'!I90))</f>
        <v/>
      </c>
      <c r="L493" s="28" t="str">
        <f aca="false">IF($I493="","",MATCH($I493,{"08.00";"09.00";"10.00";"11.00";"12.00";"13.00";"14.00";"15.00";"16.00";"17.00"},0))</f>
        <v/>
      </c>
      <c r="M493" s="28" t="str">
        <f aca="false">IF(OR($L493="",$J493=""),"",$L493+$J493-1)</f>
        <v/>
      </c>
      <c r="N493" s="28" t="str">
        <f aca="false">IF($A493="","",IF(OR($L493="",$M493=""),"",IF($M493&gt;10,"⚠ Saat Taşıyor","")))</f>
        <v/>
      </c>
      <c r="O493" s="28" t="str">
        <f aca="false">IF($A493="","",IF(OR($G493="",$H493="",$L493=""),"",IF(SUMPRODUCT(($A$7:$A$606&lt;&gt;"")*($G$7:$G$606=$G493)*($H$7:$H$606=$H493)*(ROW($A$7:$A$606)&lt;&gt;493)*($L$7:$L$606&lt;=$M493)*($M$7:$M$606&gt;=$L493))&gt;0,"⚠ Çakışma","OK")))</f>
        <v/>
      </c>
      <c r="P493" s="28" t="str">
        <f aca="false">IF($A493="","",IF(OR($K493="",$H493="",$L493=""),"",IF(SUMPRODUCT(($A$7:$A$606&lt;&gt;"")*($K$7:$K$606=$K493)*($H$7:$H$606=$H493)*(ROW($A$7:$A$606)&lt;&gt;493)*($L$7:$L$606&lt;=$M493)*($M$7:$M$606&gt;=$L493))&gt;0,"⚠ Çakışma","OK")))</f>
        <v/>
      </c>
      <c r="Q493" s="28" t="str">
        <f aca="false">IF($A493="","",IF(OR($E493="",$H493="",$L493=""),"",IF(SUMPRODUCT(($A$7:$A$606&lt;&gt;"")*($E$7:$E$606=$E493)*($H$7:$H$606=$H493)*(ROW($A$7:$A$606)&lt;&gt;493)*($L$7:$L$606&lt;=$M493)*($M$7:$M$606&gt;=$L493))&gt;0,"⚠ Çakışma","OK")))</f>
        <v/>
      </c>
      <c r="R493" s="28" t="str">
        <f aca="false">IF($A493="","",IF(OR($N493&lt;&gt;"",$O493="⚠ Çakışma",$P493="⚠ Çakışma",$Q493="⚠ Çakışma"),"⚠ Kontrol Et","✓ Uygun"))</f>
        <v/>
      </c>
    </row>
    <row r="494" customFormat="false" ht="13.5" hidden="false" customHeight="true" outlineLevel="0" collapsed="false">
      <c r="A494" s="28" t="str">
        <f aca="false">IF('3-Turizm İşletmeciliği'!A91="","","Turizm İşletmeciliği")</f>
        <v/>
      </c>
      <c r="B494" s="28" t="str">
        <f aca="false">IF($A494="","",IF('3-Turizm İşletmeciliği'!A91="","",'3-Turizm İşletmeciliği'!A91))</f>
        <v/>
      </c>
      <c r="C494" s="29" t="str">
        <f aca="false">IF($A494="","",IF('3-Turizm İşletmeciliği'!B91="","",'3-Turizm İşletmeciliği'!B91))</f>
        <v/>
      </c>
      <c r="D494" s="28" t="str">
        <f aca="false">IF($A494="","",IF('3-Turizm İşletmeciliği'!C91="","",'3-Turizm İşletmeciliği'!C91))</f>
        <v/>
      </c>
      <c r="E494" s="28" t="str">
        <f aca="false">IF($A494="","",$A494&amp;"-"&amp;$D494)</f>
        <v/>
      </c>
      <c r="F494" s="28" t="str">
        <f aca="false">IF($A494="","",IF('3-Turizm İşletmeciliği'!D91="","",'3-Turizm İşletmeciliği'!D91))</f>
        <v/>
      </c>
      <c r="G494" s="28" t="str">
        <f aca="false">IF($A494="","",IF('3-Turizm İşletmeciliği'!E91="","",'3-Turizm İşletmeciliği'!E91))</f>
        <v/>
      </c>
      <c r="H494" s="28" t="str">
        <f aca="false">IF($A494="","",IF('3-Turizm İşletmeciliği'!F91="","",'3-Turizm İşletmeciliği'!F91))</f>
        <v/>
      </c>
      <c r="I494" s="28" t="str">
        <f aca="false">IF($A494="","",IF('3-Turizm İşletmeciliği'!G91="","",'3-Turizm İşletmeciliği'!G91))</f>
        <v/>
      </c>
      <c r="J494" s="28" t="str">
        <f aca="false">IF($A494="","",IF('3-Turizm İşletmeciliği'!H91="","",'3-Turizm İşletmeciliği'!H91))</f>
        <v/>
      </c>
      <c r="K494" s="28" t="str">
        <f aca="false">IF($A494="","",IF('3-Turizm İşletmeciliği'!I91="","",'3-Turizm İşletmeciliği'!I91))</f>
        <v/>
      </c>
      <c r="L494" s="28" t="str">
        <f aca="false">IF($I494="","",MATCH($I494,{"08.00";"09.00";"10.00";"11.00";"12.00";"13.00";"14.00";"15.00";"16.00";"17.00"},0))</f>
        <v/>
      </c>
      <c r="M494" s="28" t="str">
        <f aca="false">IF(OR($L494="",$J494=""),"",$L494+$J494-1)</f>
        <v/>
      </c>
      <c r="N494" s="28" t="str">
        <f aca="false">IF($A494="","",IF(OR($L494="",$M494=""),"",IF($M494&gt;10,"⚠ Saat Taşıyor","")))</f>
        <v/>
      </c>
      <c r="O494" s="28" t="str">
        <f aca="false">IF($A494="","",IF(OR($G494="",$H494="",$L494=""),"",IF(SUMPRODUCT(($A$7:$A$606&lt;&gt;"")*($G$7:$G$606=$G494)*($H$7:$H$606=$H494)*(ROW($A$7:$A$606)&lt;&gt;494)*($L$7:$L$606&lt;=$M494)*($M$7:$M$606&gt;=$L494))&gt;0,"⚠ Çakışma","OK")))</f>
        <v/>
      </c>
      <c r="P494" s="28" t="str">
        <f aca="false">IF($A494="","",IF(OR($K494="",$H494="",$L494=""),"",IF(SUMPRODUCT(($A$7:$A$606&lt;&gt;"")*($K$7:$K$606=$K494)*($H$7:$H$606=$H494)*(ROW($A$7:$A$606)&lt;&gt;494)*($L$7:$L$606&lt;=$M494)*($M$7:$M$606&gt;=$L494))&gt;0,"⚠ Çakışma","OK")))</f>
        <v/>
      </c>
      <c r="Q494" s="28" t="str">
        <f aca="false">IF($A494="","",IF(OR($E494="",$H494="",$L494=""),"",IF(SUMPRODUCT(($A$7:$A$606&lt;&gt;"")*($E$7:$E$606=$E494)*($H$7:$H$606=$H494)*(ROW($A$7:$A$606)&lt;&gt;494)*($L$7:$L$606&lt;=$M494)*($M$7:$M$606&gt;=$L494))&gt;0,"⚠ Çakışma","OK")))</f>
        <v/>
      </c>
      <c r="R494" s="28" t="str">
        <f aca="false">IF($A494="","",IF(OR($N494&lt;&gt;"",$O494="⚠ Çakışma",$P494="⚠ Çakışma",$Q494="⚠ Çakışma"),"⚠ Kontrol Et","✓ Uygun"))</f>
        <v/>
      </c>
    </row>
    <row r="495" customFormat="false" ht="13.5" hidden="false" customHeight="true" outlineLevel="0" collapsed="false">
      <c r="A495" s="28" t="str">
        <f aca="false">IF('3-Turizm İşletmeciliği'!A92="","","Turizm İşletmeciliği")</f>
        <v/>
      </c>
      <c r="B495" s="28" t="str">
        <f aca="false">IF($A495="","",IF('3-Turizm İşletmeciliği'!A92="","",'3-Turizm İşletmeciliği'!A92))</f>
        <v/>
      </c>
      <c r="C495" s="29" t="str">
        <f aca="false">IF($A495="","",IF('3-Turizm İşletmeciliği'!B92="","",'3-Turizm İşletmeciliği'!B92))</f>
        <v/>
      </c>
      <c r="D495" s="28" t="str">
        <f aca="false">IF($A495="","",IF('3-Turizm İşletmeciliği'!C92="","",'3-Turizm İşletmeciliği'!C92))</f>
        <v/>
      </c>
      <c r="E495" s="28" t="str">
        <f aca="false">IF($A495="","",$A495&amp;"-"&amp;$D495)</f>
        <v/>
      </c>
      <c r="F495" s="28" t="str">
        <f aca="false">IF($A495="","",IF('3-Turizm İşletmeciliği'!D92="","",'3-Turizm İşletmeciliği'!D92))</f>
        <v/>
      </c>
      <c r="G495" s="28" t="str">
        <f aca="false">IF($A495="","",IF('3-Turizm İşletmeciliği'!E92="","",'3-Turizm İşletmeciliği'!E92))</f>
        <v/>
      </c>
      <c r="H495" s="28" t="str">
        <f aca="false">IF($A495="","",IF('3-Turizm İşletmeciliği'!F92="","",'3-Turizm İşletmeciliği'!F92))</f>
        <v/>
      </c>
      <c r="I495" s="28" t="str">
        <f aca="false">IF($A495="","",IF('3-Turizm İşletmeciliği'!G92="","",'3-Turizm İşletmeciliği'!G92))</f>
        <v/>
      </c>
      <c r="J495" s="28" t="str">
        <f aca="false">IF($A495="","",IF('3-Turizm İşletmeciliği'!H92="","",'3-Turizm İşletmeciliği'!H92))</f>
        <v/>
      </c>
      <c r="K495" s="28" t="str">
        <f aca="false">IF($A495="","",IF('3-Turizm İşletmeciliği'!I92="","",'3-Turizm İşletmeciliği'!I92))</f>
        <v/>
      </c>
      <c r="L495" s="28" t="str">
        <f aca="false">IF($I495="","",MATCH($I495,{"08.00";"09.00";"10.00";"11.00";"12.00";"13.00";"14.00";"15.00";"16.00";"17.00"},0))</f>
        <v/>
      </c>
      <c r="M495" s="28" t="str">
        <f aca="false">IF(OR($L495="",$J495=""),"",$L495+$J495-1)</f>
        <v/>
      </c>
      <c r="N495" s="28" t="str">
        <f aca="false">IF($A495="","",IF(OR($L495="",$M495=""),"",IF($M495&gt;10,"⚠ Saat Taşıyor","")))</f>
        <v/>
      </c>
      <c r="O495" s="28" t="str">
        <f aca="false">IF($A495="","",IF(OR($G495="",$H495="",$L495=""),"",IF(SUMPRODUCT(($A$7:$A$606&lt;&gt;"")*($G$7:$G$606=$G495)*($H$7:$H$606=$H495)*(ROW($A$7:$A$606)&lt;&gt;495)*($L$7:$L$606&lt;=$M495)*($M$7:$M$606&gt;=$L495))&gt;0,"⚠ Çakışma","OK")))</f>
        <v/>
      </c>
      <c r="P495" s="28" t="str">
        <f aca="false">IF($A495="","",IF(OR($K495="",$H495="",$L495=""),"",IF(SUMPRODUCT(($A$7:$A$606&lt;&gt;"")*($K$7:$K$606=$K495)*($H$7:$H$606=$H495)*(ROW($A$7:$A$606)&lt;&gt;495)*($L$7:$L$606&lt;=$M495)*($M$7:$M$606&gt;=$L495))&gt;0,"⚠ Çakışma","OK")))</f>
        <v/>
      </c>
      <c r="Q495" s="28" t="str">
        <f aca="false">IF($A495="","",IF(OR($E495="",$H495="",$L495=""),"",IF(SUMPRODUCT(($A$7:$A$606&lt;&gt;"")*($E$7:$E$606=$E495)*($H$7:$H$606=$H495)*(ROW($A$7:$A$606)&lt;&gt;495)*($L$7:$L$606&lt;=$M495)*($M$7:$M$606&gt;=$L495))&gt;0,"⚠ Çakışma","OK")))</f>
        <v/>
      </c>
      <c r="R495" s="28" t="str">
        <f aca="false">IF($A495="","",IF(OR($N495&lt;&gt;"",$O495="⚠ Çakışma",$P495="⚠ Çakışma",$Q495="⚠ Çakışma"),"⚠ Kontrol Et","✓ Uygun"))</f>
        <v/>
      </c>
    </row>
    <row r="496" customFormat="false" ht="13.5" hidden="false" customHeight="true" outlineLevel="0" collapsed="false">
      <c r="A496" s="28" t="str">
        <f aca="false">IF('3-Turizm İşletmeciliği'!A93="","","Turizm İşletmeciliği")</f>
        <v/>
      </c>
      <c r="B496" s="28" t="str">
        <f aca="false">IF($A496="","",IF('3-Turizm İşletmeciliği'!A93="","",'3-Turizm İşletmeciliği'!A93))</f>
        <v/>
      </c>
      <c r="C496" s="29" t="str">
        <f aca="false">IF($A496="","",IF('3-Turizm İşletmeciliği'!B93="","",'3-Turizm İşletmeciliği'!B93))</f>
        <v/>
      </c>
      <c r="D496" s="28" t="str">
        <f aca="false">IF($A496="","",IF('3-Turizm İşletmeciliği'!C93="","",'3-Turizm İşletmeciliği'!C93))</f>
        <v/>
      </c>
      <c r="E496" s="28" t="str">
        <f aca="false">IF($A496="","",$A496&amp;"-"&amp;$D496)</f>
        <v/>
      </c>
      <c r="F496" s="28" t="str">
        <f aca="false">IF($A496="","",IF('3-Turizm İşletmeciliği'!D93="","",'3-Turizm İşletmeciliği'!D93))</f>
        <v/>
      </c>
      <c r="G496" s="28" t="str">
        <f aca="false">IF($A496="","",IF('3-Turizm İşletmeciliği'!E93="","",'3-Turizm İşletmeciliği'!E93))</f>
        <v/>
      </c>
      <c r="H496" s="28" t="str">
        <f aca="false">IF($A496="","",IF('3-Turizm İşletmeciliği'!F93="","",'3-Turizm İşletmeciliği'!F93))</f>
        <v/>
      </c>
      <c r="I496" s="28" t="str">
        <f aca="false">IF($A496="","",IF('3-Turizm İşletmeciliği'!G93="","",'3-Turizm İşletmeciliği'!G93))</f>
        <v/>
      </c>
      <c r="J496" s="28" t="str">
        <f aca="false">IF($A496="","",IF('3-Turizm İşletmeciliği'!H93="","",'3-Turizm İşletmeciliği'!H93))</f>
        <v/>
      </c>
      <c r="K496" s="28" t="str">
        <f aca="false">IF($A496="","",IF('3-Turizm İşletmeciliği'!I93="","",'3-Turizm İşletmeciliği'!I93))</f>
        <v/>
      </c>
      <c r="L496" s="28" t="str">
        <f aca="false">IF($I496="","",MATCH($I496,{"08.00";"09.00";"10.00";"11.00";"12.00";"13.00";"14.00";"15.00";"16.00";"17.00"},0))</f>
        <v/>
      </c>
      <c r="M496" s="28" t="str">
        <f aca="false">IF(OR($L496="",$J496=""),"",$L496+$J496-1)</f>
        <v/>
      </c>
      <c r="N496" s="28" t="str">
        <f aca="false">IF($A496="","",IF(OR($L496="",$M496=""),"",IF($M496&gt;10,"⚠ Saat Taşıyor","")))</f>
        <v/>
      </c>
      <c r="O496" s="28" t="str">
        <f aca="false">IF($A496="","",IF(OR($G496="",$H496="",$L496=""),"",IF(SUMPRODUCT(($A$7:$A$606&lt;&gt;"")*($G$7:$G$606=$G496)*($H$7:$H$606=$H496)*(ROW($A$7:$A$606)&lt;&gt;496)*($L$7:$L$606&lt;=$M496)*($M$7:$M$606&gt;=$L496))&gt;0,"⚠ Çakışma","OK")))</f>
        <v/>
      </c>
      <c r="P496" s="28" t="str">
        <f aca="false">IF($A496="","",IF(OR($K496="",$H496="",$L496=""),"",IF(SUMPRODUCT(($A$7:$A$606&lt;&gt;"")*($K$7:$K$606=$K496)*($H$7:$H$606=$H496)*(ROW($A$7:$A$606)&lt;&gt;496)*($L$7:$L$606&lt;=$M496)*($M$7:$M$606&gt;=$L496))&gt;0,"⚠ Çakışma","OK")))</f>
        <v/>
      </c>
      <c r="Q496" s="28" t="str">
        <f aca="false">IF($A496="","",IF(OR($E496="",$H496="",$L496=""),"",IF(SUMPRODUCT(($A$7:$A$606&lt;&gt;"")*($E$7:$E$606=$E496)*($H$7:$H$606=$H496)*(ROW($A$7:$A$606)&lt;&gt;496)*($L$7:$L$606&lt;=$M496)*($M$7:$M$606&gt;=$L496))&gt;0,"⚠ Çakışma","OK")))</f>
        <v/>
      </c>
      <c r="R496" s="28" t="str">
        <f aca="false">IF($A496="","",IF(OR($N496&lt;&gt;"",$O496="⚠ Çakışma",$P496="⚠ Çakışma",$Q496="⚠ Çakışma"),"⚠ Kontrol Et","✓ Uygun"))</f>
        <v/>
      </c>
    </row>
    <row r="497" customFormat="false" ht="13.5" hidden="false" customHeight="true" outlineLevel="0" collapsed="false">
      <c r="A497" s="28" t="str">
        <f aca="false">IF('3-Turizm İşletmeciliği'!A94="","","Turizm İşletmeciliği")</f>
        <v/>
      </c>
      <c r="B497" s="28" t="str">
        <f aca="false">IF($A497="","",IF('3-Turizm İşletmeciliği'!A94="","",'3-Turizm İşletmeciliği'!A94))</f>
        <v/>
      </c>
      <c r="C497" s="29" t="str">
        <f aca="false">IF($A497="","",IF('3-Turizm İşletmeciliği'!B94="","",'3-Turizm İşletmeciliği'!B94))</f>
        <v/>
      </c>
      <c r="D497" s="28" t="str">
        <f aca="false">IF($A497="","",IF('3-Turizm İşletmeciliği'!C94="","",'3-Turizm İşletmeciliği'!C94))</f>
        <v/>
      </c>
      <c r="E497" s="28" t="str">
        <f aca="false">IF($A497="","",$A497&amp;"-"&amp;$D497)</f>
        <v/>
      </c>
      <c r="F497" s="28" t="str">
        <f aca="false">IF($A497="","",IF('3-Turizm İşletmeciliği'!D94="","",'3-Turizm İşletmeciliği'!D94))</f>
        <v/>
      </c>
      <c r="G497" s="28" t="str">
        <f aca="false">IF($A497="","",IF('3-Turizm İşletmeciliği'!E94="","",'3-Turizm İşletmeciliği'!E94))</f>
        <v/>
      </c>
      <c r="H497" s="28" t="str">
        <f aca="false">IF($A497="","",IF('3-Turizm İşletmeciliği'!F94="","",'3-Turizm İşletmeciliği'!F94))</f>
        <v/>
      </c>
      <c r="I497" s="28" t="str">
        <f aca="false">IF($A497="","",IF('3-Turizm İşletmeciliği'!G94="","",'3-Turizm İşletmeciliği'!G94))</f>
        <v/>
      </c>
      <c r="J497" s="28" t="str">
        <f aca="false">IF($A497="","",IF('3-Turizm İşletmeciliği'!H94="","",'3-Turizm İşletmeciliği'!H94))</f>
        <v/>
      </c>
      <c r="K497" s="28" t="str">
        <f aca="false">IF($A497="","",IF('3-Turizm İşletmeciliği'!I94="","",'3-Turizm İşletmeciliği'!I94))</f>
        <v/>
      </c>
      <c r="L497" s="28" t="str">
        <f aca="false">IF($I497="","",MATCH($I497,{"08.00";"09.00";"10.00";"11.00";"12.00";"13.00";"14.00";"15.00";"16.00";"17.00"},0))</f>
        <v/>
      </c>
      <c r="M497" s="28" t="str">
        <f aca="false">IF(OR($L497="",$J497=""),"",$L497+$J497-1)</f>
        <v/>
      </c>
      <c r="N497" s="28" t="str">
        <f aca="false">IF($A497="","",IF(OR($L497="",$M497=""),"",IF($M497&gt;10,"⚠ Saat Taşıyor","")))</f>
        <v/>
      </c>
      <c r="O497" s="28" t="str">
        <f aca="false">IF($A497="","",IF(OR($G497="",$H497="",$L497=""),"",IF(SUMPRODUCT(($A$7:$A$606&lt;&gt;"")*($G$7:$G$606=$G497)*($H$7:$H$606=$H497)*(ROW($A$7:$A$606)&lt;&gt;497)*($L$7:$L$606&lt;=$M497)*($M$7:$M$606&gt;=$L497))&gt;0,"⚠ Çakışma","OK")))</f>
        <v/>
      </c>
      <c r="P497" s="28" t="str">
        <f aca="false">IF($A497="","",IF(OR($K497="",$H497="",$L497=""),"",IF(SUMPRODUCT(($A$7:$A$606&lt;&gt;"")*($K$7:$K$606=$K497)*($H$7:$H$606=$H497)*(ROW($A$7:$A$606)&lt;&gt;497)*($L$7:$L$606&lt;=$M497)*($M$7:$M$606&gt;=$L497))&gt;0,"⚠ Çakışma","OK")))</f>
        <v/>
      </c>
      <c r="Q497" s="28" t="str">
        <f aca="false">IF($A497="","",IF(OR($E497="",$H497="",$L497=""),"",IF(SUMPRODUCT(($A$7:$A$606&lt;&gt;"")*($E$7:$E$606=$E497)*($H$7:$H$606=$H497)*(ROW($A$7:$A$606)&lt;&gt;497)*($L$7:$L$606&lt;=$M497)*($M$7:$M$606&gt;=$L497))&gt;0,"⚠ Çakışma","OK")))</f>
        <v/>
      </c>
      <c r="R497" s="28" t="str">
        <f aca="false">IF($A497="","",IF(OR($N497&lt;&gt;"",$O497="⚠ Çakışma",$P497="⚠ Çakışma",$Q497="⚠ Çakışma"),"⚠ Kontrol Et","✓ Uygun"))</f>
        <v/>
      </c>
    </row>
    <row r="498" customFormat="false" ht="13.5" hidden="false" customHeight="true" outlineLevel="0" collapsed="false">
      <c r="A498" s="28" t="str">
        <f aca="false">IF('3-Turizm İşletmeciliği'!A95="","","Turizm İşletmeciliği")</f>
        <v/>
      </c>
      <c r="B498" s="28" t="str">
        <f aca="false">IF($A498="","",IF('3-Turizm İşletmeciliği'!A95="","",'3-Turizm İşletmeciliği'!A95))</f>
        <v/>
      </c>
      <c r="C498" s="29" t="str">
        <f aca="false">IF($A498="","",IF('3-Turizm İşletmeciliği'!B95="","",'3-Turizm İşletmeciliği'!B95))</f>
        <v/>
      </c>
      <c r="D498" s="28" t="str">
        <f aca="false">IF($A498="","",IF('3-Turizm İşletmeciliği'!C95="","",'3-Turizm İşletmeciliği'!C95))</f>
        <v/>
      </c>
      <c r="E498" s="28" t="str">
        <f aca="false">IF($A498="","",$A498&amp;"-"&amp;$D498)</f>
        <v/>
      </c>
      <c r="F498" s="28" t="str">
        <f aca="false">IF($A498="","",IF('3-Turizm İşletmeciliği'!D95="","",'3-Turizm İşletmeciliği'!D95))</f>
        <v/>
      </c>
      <c r="G498" s="28" t="str">
        <f aca="false">IF($A498="","",IF('3-Turizm İşletmeciliği'!E95="","",'3-Turizm İşletmeciliği'!E95))</f>
        <v/>
      </c>
      <c r="H498" s="28" t="str">
        <f aca="false">IF($A498="","",IF('3-Turizm İşletmeciliği'!F95="","",'3-Turizm İşletmeciliği'!F95))</f>
        <v/>
      </c>
      <c r="I498" s="28" t="str">
        <f aca="false">IF($A498="","",IF('3-Turizm İşletmeciliği'!G95="","",'3-Turizm İşletmeciliği'!G95))</f>
        <v/>
      </c>
      <c r="J498" s="28" t="str">
        <f aca="false">IF($A498="","",IF('3-Turizm İşletmeciliği'!H95="","",'3-Turizm İşletmeciliği'!H95))</f>
        <v/>
      </c>
      <c r="K498" s="28" t="str">
        <f aca="false">IF($A498="","",IF('3-Turizm İşletmeciliği'!I95="","",'3-Turizm İşletmeciliği'!I95))</f>
        <v/>
      </c>
      <c r="L498" s="28" t="str">
        <f aca="false">IF($I498="","",MATCH($I498,{"08.00";"09.00";"10.00";"11.00";"12.00";"13.00";"14.00";"15.00";"16.00";"17.00"},0))</f>
        <v/>
      </c>
      <c r="M498" s="28" t="str">
        <f aca="false">IF(OR($L498="",$J498=""),"",$L498+$J498-1)</f>
        <v/>
      </c>
      <c r="N498" s="28" t="str">
        <f aca="false">IF($A498="","",IF(OR($L498="",$M498=""),"",IF($M498&gt;10,"⚠ Saat Taşıyor","")))</f>
        <v/>
      </c>
      <c r="O498" s="28" t="str">
        <f aca="false">IF($A498="","",IF(OR($G498="",$H498="",$L498=""),"",IF(SUMPRODUCT(($A$7:$A$606&lt;&gt;"")*($G$7:$G$606=$G498)*($H$7:$H$606=$H498)*(ROW($A$7:$A$606)&lt;&gt;498)*($L$7:$L$606&lt;=$M498)*($M$7:$M$606&gt;=$L498))&gt;0,"⚠ Çakışma","OK")))</f>
        <v/>
      </c>
      <c r="P498" s="28" t="str">
        <f aca="false">IF($A498="","",IF(OR($K498="",$H498="",$L498=""),"",IF(SUMPRODUCT(($A$7:$A$606&lt;&gt;"")*($K$7:$K$606=$K498)*($H$7:$H$606=$H498)*(ROW($A$7:$A$606)&lt;&gt;498)*($L$7:$L$606&lt;=$M498)*($M$7:$M$606&gt;=$L498))&gt;0,"⚠ Çakışma","OK")))</f>
        <v/>
      </c>
      <c r="Q498" s="28" t="str">
        <f aca="false">IF($A498="","",IF(OR($E498="",$H498="",$L498=""),"",IF(SUMPRODUCT(($A$7:$A$606&lt;&gt;"")*($E$7:$E$606=$E498)*($H$7:$H$606=$H498)*(ROW($A$7:$A$606)&lt;&gt;498)*($L$7:$L$606&lt;=$M498)*($M$7:$M$606&gt;=$L498))&gt;0,"⚠ Çakışma","OK")))</f>
        <v/>
      </c>
      <c r="R498" s="28" t="str">
        <f aca="false">IF($A498="","",IF(OR($N498&lt;&gt;"",$O498="⚠ Çakışma",$P498="⚠ Çakışma",$Q498="⚠ Çakışma"),"⚠ Kontrol Et","✓ Uygun"))</f>
        <v/>
      </c>
    </row>
    <row r="499" customFormat="false" ht="13.5" hidden="false" customHeight="true" outlineLevel="0" collapsed="false">
      <c r="A499" s="28" t="str">
        <f aca="false">IF('3-Turizm İşletmeciliği'!A96="","","Turizm İşletmeciliği")</f>
        <v/>
      </c>
      <c r="B499" s="28" t="str">
        <f aca="false">IF($A499="","",IF('3-Turizm İşletmeciliği'!A96="","",'3-Turizm İşletmeciliği'!A96))</f>
        <v/>
      </c>
      <c r="C499" s="29" t="str">
        <f aca="false">IF($A499="","",IF('3-Turizm İşletmeciliği'!B96="","",'3-Turizm İşletmeciliği'!B96))</f>
        <v/>
      </c>
      <c r="D499" s="28" t="str">
        <f aca="false">IF($A499="","",IF('3-Turizm İşletmeciliği'!C96="","",'3-Turizm İşletmeciliği'!C96))</f>
        <v/>
      </c>
      <c r="E499" s="28" t="str">
        <f aca="false">IF($A499="","",$A499&amp;"-"&amp;$D499)</f>
        <v/>
      </c>
      <c r="F499" s="28" t="str">
        <f aca="false">IF($A499="","",IF('3-Turizm İşletmeciliği'!D96="","",'3-Turizm İşletmeciliği'!D96))</f>
        <v/>
      </c>
      <c r="G499" s="28" t="str">
        <f aca="false">IF($A499="","",IF('3-Turizm İşletmeciliği'!E96="","",'3-Turizm İşletmeciliği'!E96))</f>
        <v/>
      </c>
      <c r="H499" s="28" t="str">
        <f aca="false">IF($A499="","",IF('3-Turizm İşletmeciliği'!F96="","",'3-Turizm İşletmeciliği'!F96))</f>
        <v/>
      </c>
      <c r="I499" s="28" t="str">
        <f aca="false">IF($A499="","",IF('3-Turizm İşletmeciliği'!G96="","",'3-Turizm İşletmeciliği'!G96))</f>
        <v/>
      </c>
      <c r="J499" s="28" t="str">
        <f aca="false">IF($A499="","",IF('3-Turizm İşletmeciliği'!H96="","",'3-Turizm İşletmeciliği'!H96))</f>
        <v/>
      </c>
      <c r="K499" s="28" t="str">
        <f aca="false">IF($A499="","",IF('3-Turizm İşletmeciliği'!I96="","",'3-Turizm İşletmeciliği'!I96))</f>
        <v/>
      </c>
      <c r="L499" s="28" t="str">
        <f aca="false">IF($I499="","",MATCH($I499,{"08.00";"09.00";"10.00";"11.00";"12.00";"13.00";"14.00";"15.00";"16.00";"17.00"},0))</f>
        <v/>
      </c>
      <c r="M499" s="28" t="str">
        <f aca="false">IF(OR($L499="",$J499=""),"",$L499+$J499-1)</f>
        <v/>
      </c>
      <c r="N499" s="28" t="str">
        <f aca="false">IF($A499="","",IF(OR($L499="",$M499=""),"",IF($M499&gt;10,"⚠ Saat Taşıyor","")))</f>
        <v/>
      </c>
      <c r="O499" s="28" t="str">
        <f aca="false">IF($A499="","",IF(OR($G499="",$H499="",$L499=""),"",IF(SUMPRODUCT(($A$7:$A$606&lt;&gt;"")*($G$7:$G$606=$G499)*($H$7:$H$606=$H499)*(ROW($A$7:$A$606)&lt;&gt;499)*($L$7:$L$606&lt;=$M499)*($M$7:$M$606&gt;=$L499))&gt;0,"⚠ Çakışma","OK")))</f>
        <v/>
      </c>
      <c r="P499" s="28" t="str">
        <f aca="false">IF($A499="","",IF(OR($K499="",$H499="",$L499=""),"",IF(SUMPRODUCT(($A$7:$A$606&lt;&gt;"")*($K$7:$K$606=$K499)*($H$7:$H$606=$H499)*(ROW($A$7:$A$606)&lt;&gt;499)*($L$7:$L$606&lt;=$M499)*($M$7:$M$606&gt;=$L499))&gt;0,"⚠ Çakışma","OK")))</f>
        <v/>
      </c>
      <c r="Q499" s="28" t="str">
        <f aca="false">IF($A499="","",IF(OR($E499="",$H499="",$L499=""),"",IF(SUMPRODUCT(($A$7:$A$606&lt;&gt;"")*($E$7:$E$606=$E499)*($H$7:$H$606=$H499)*(ROW($A$7:$A$606)&lt;&gt;499)*($L$7:$L$606&lt;=$M499)*($M$7:$M$606&gt;=$L499))&gt;0,"⚠ Çakışma","OK")))</f>
        <v/>
      </c>
      <c r="R499" s="28" t="str">
        <f aca="false">IF($A499="","",IF(OR($N499&lt;&gt;"",$O499="⚠ Çakışma",$P499="⚠ Çakışma",$Q499="⚠ Çakışma"),"⚠ Kontrol Et","✓ Uygun"))</f>
        <v/>
      </c>
    </row>
    <row r="500" customFormat="false" ht="13.5" hidden="false" customHeight="true" outlineLevel="0" collapsed="false">
      <c r="A500" s="28" t="str">
        <f aca="false">IF('3-Turizm İşletmeciliği'!A97="","","Turizm İşletmeciliği")</f>
        <v/>
      </c>
      <c r="B500" s="28" t="str">
        <f aca="false">IF($A500="","",IF('3-Turizm İşletmeciliği'!A97="","",'3-Turizm İşletmeciliği'!A97))</f>
        <v/>
      </c>
      <c r="C500" s="29" t="str">
        <f aca="false">IF($A500="","",IF('3-Turizm İşletmeciliği'!B97="","",'3-Turizm İşletmeciliği'!B97))</f>
        <v/>
      </c>
      <c r="D500" s="28" t="str">
        <f aca="false">IF($A500="","",IF('3-Turizm İşletmeciliği'!C97="","",'3-Turizm İşletmeciliği'!C97))</f>
        <v/>
      </c>
      <c r="E500" s="28" t="str">
        <f aca="false">IF($A500="","",$A500&amp;"-"&amp;$D500)</f>
        <v/>
      </c>
      <c r="F500" s="28" t="str">
        <f aca="false">IF($A500="","",IF('3-Turizm İşletmeciliği'!D97="","",'3-Turizm İşletmeciliği'!D97))</f>
        <v/>
      </c>
      <c r="G500" s="28" t="str">
        <f aca="false">IF($A500="","",IF('3-Turizm İşletmeciliği'!E97="","",'3-Turizm İşletmeciliği'!E97))</f>
        <v/>
      </c>
      <c r="H500" s="28" t="str">
        <f aca="false">IF($A500="","",IF('3-Turizm İşletmeciliği'!F97="","",'3-Turizm İşletmeciliği'!F97))</f>
        <v/>
      </c>
      <c r="I500" s="28" t="str">
        <f aca="false">IF($A500="","",IF('3-Turizm İşletmeciliği'!G97="","",'3-Turizm İşletmeciliği'!G97))</f>
        <v/>
      </c>
      <c r="J500" s="28" t="str">
        <f aca="false">IF($A500="","",IF('3-Turizm İşletmeciliği'!H97="","",'3-Turizm İşletmeciliği'!H97))</f>
        <v/>
      </c>
      <c r="K500" s="28" t="str">
        <f aca="false">IF($A500="","",IF('3-Turizm İşletmeciliği'!I97="","",'3-Turizm İşletmeciliği'!I97))</f>
        <v/>
      </c>
      <c r="L500" s="28" t="str">
        <f aca="false">IF($I500="","",MATCH($I500,{"08.00";"09.00";"10.00";"11.00";"12.00";"13.00";"14.00";"15.00";"16.00";"17.00"},0))</f>
        <v/>
      </c>
      <c r="M500" s="28" t="str">
        <f aca="false">IF(OR($L500="",$J500=""),"",$L500+$J500-1)</f>
        <v/>
      </c>
      <c r="N500" s="28" t="str">
        <f aca="false">IF($A500="","",IF(OR($L500="",$M500=""),"",IF($M500&gt;10,"⚠ Saat Taşıyor","")))</f>
        <v/>
      </c>
      <c r="O500" s="28" t="str">
        <f aca="false">IF($A500="","",IF(OR($G500="",$H500="",$L500=""),"",IF(SUMPRODUCT(($A$7:$A$606&lt;&gt;"")*($G$7:$G$606=$G500)*($H$7:$H$606=$H500)*(ROW($A$7:$A$606)&lt;&gt;500)*($L$7:$L$606&lt;=$M500)*($M$7:$M$606&gt;=$L500))&gt;0,"⚠ Çakışma","OK")))</f>
        <v/>
      </c>
      <c r="P500" s="28" t="str">
        <f aca="false">IF($A500="","",IF(OR($K500="",$H500="",$L500=""),"",IF(SUMPRODUCT(($A$7:$A$606&lt;&gt;"")*($K$7:$K$606=$K500)*($H$7:$H$606=$H500)*(ROW($A$7:$A$606)&lt;&gt;500)*($L$7:$L$606&lt;=$M500)*($M$7:$M$606&gt;=$L500))&gt;0,"⚠ Çakışma","OK")))</f>
        <v/>
      </c>
      <c r="Q500" s="28" t="str">
        <f aca="false">IF($A500="","",IF(OR($E500="",$H500="",$L500=""),"",IF(SUMPRODUCT(($A$7:$A$606&lt;&gt;"")*($E$7:$E$606=$E500)*($H$7:$H$606=$H500)*(ROW($A$7:$A$606)&lt;&gt;500)*($L$7:$L$606&lt;=$M500)*($M$7:$M$606&gt;=$L500))&gt;0,"⚠ Çakışma","OK")))</f>
        <v/>
      </c>
      <c r="R500" s="28" t="str">
        <f aca="false">IF($A500="","",IF(OR($N500&lt;&gt;"",$O500="⚠ Çakışma",$P500="⚠ Çakışma",$Q500="⚠ Çakışma"),"⚠ Kontrol Et","✓ Uygun"))</f>
        <v/>
      </c>
    </row>
    <row r="501" customFormat="false" ht="13.5" hidden="false" customHeight="true" outlineLevel="0" collapsed="false">
      <c r="A501" s="28" t="str">
        <f aca="false">IF('3-Turizm İşletmeciliği'!A98="","","Turizm İşletmeciliği")</f>
        <v/>
      </c>
      <c r="B501" s="28" t="str">
        <f aca="false">IF($A501="","",IF('3-Turizm İşletmeciliği'!A98="","",'3-Turizm İşletmeciliği'!A98))</f>
        <v/>
      </c>
      <c r="C501" s="29" t="str">
        <f aca="false">IF($A501="","",IF('3-Turizm İşletmeciliği'!B98="","",'3-Turizm İşletmeciliği'!B98))</f>
        <v/>
      </c>
      <c r="D501" s="28" t="str">
        <f aca="false">IF($A501="","",IF('3-Turizm İşletmeciliği'!C98="","",'3-Turizm İşletmeciliği'!C98))</f>
        <v/>
      </c>
      <c r="E501" s="28" t="str">
        <f aca="false">IF($A501="","",$A501&amp;"-"&amp;$D501)</f>
        <v/>
      </c>
      <c r="F501" s="28" t="str">
        <f aca="false">IF($A501="","",IF('3-Turizm İşletmeciliği'!D98="","",'3-Turizm İşletmeciliği'!D98))</f>
        <v/>
      </c>
      <c r="G501" s="28" t="str">
        <f aca="false">IF($A501="","",IF('3-Turizm İşletmeciliği'!E98="","",'3-Turizm İşletmeciliği'!E98))</f>
        <v/>
      </c>
      <c r="H501" s="28" t="str">
        <f aca="false">IF($A501="","",IF('3-Turizm İşletmeciliği'!F98="","",'3-Turizm İşletmeciliği'!F98))</f>
        <v/>
      </c>
      <c r="I501" s="28" t="str">
        <f aca="false">IF($A501="","",IF('3-Turizm İşletmeciliği'!G98="","",'3-Turizm İşletmeciliği'!G98))</f>
        <v/>
      </c>
      <c r="J501" s="28" t="str">
        <f aca="false">IF($A501="","",IF('3-Turizm İşletmeciliği'!H98="","",'3-Turizm İşletmeciliği'!H98))</f>
        <v/>
      </c>
      <c r="K501" s="28" t="str">
        <f aca="false">IF($A501="","",IF('3-Turizm İşletmeciliği'!I98="","",'3-Turizm İşletmeciliği'!I98))</f>
        <v/>
      </c>
      <c r="L501" s="28" t="str">
        <f aca="false">IF($I501="","",MATCH($I501,{"08.00";"09.00";"10.00";"11.00";"12.00";"13.00";"14.00";"15.00";"16.00";"17.00"},0))</f>
        <v/>
      </c>
      <c r="M501" s="28" t="str">
        <f aca="false">IF(OR($L501="",$J501=""),"",$L501+$J501-1)</f>
        <v/>
      </c>
      <c r="N501" s="28" t="str">
        <f aca="false">IF($A501="","",IF(OR($L501="",$M501=""),"",IF($M501&gt;10,"⚠ Saat Taşıyor","")))</f>
        <v/>
      </c>
      <c r="O501" s="28" t="str">
        <f aca="false">IF($A501="","",IF(OR($G501="",$H501="",$L501=""),"",IF(SUMPRODUCT(($A$7:$A$606&lt;&gt;"")*($G$7:$G$606=$G501)*($H$7:$H$606=$H501)*(ROW($A$7:$A$606)&lt;&gt;501)*($L$7:$L$606&lt;=$M501)*($M$7:$M$606&gt;=$L501))&gt;0,"⚠ Çakışma","OK")))</f>
        <v/>
      </c>
      <c r="P501" s="28" t="str">
        <f aca="false">IF($A501="","",IF(OR($K501="",$H501="",$L501=""),"",IF(SUMPRODUCT(($A$7:$A$606&lt;&gt;"")*($K$7:$K$606=$K501)*($H$7:$H$606=$H501)*(ROW($A$7:$A$606)&lt;&gt;501)*($L$7:$L$606&lt;=$M501)*($M$7:$M$606&gt;=$L501))&gt;0,"⚠ Çakışma","OK")))</f>
        <v/>
      </c>
      <c r="Q501" s="28" t="str">
        <f aca="false">IF($A501="","",IF(OR($E501="",$H501="",$L501=""),"",IF(SUMPRODUCT(($A$7:$A$606&lt;&gt;"")*($E$7:$E$606=$E501)*($H$7:$H$606=$H501)*(ROW($A$7:$A$606)&lt;&gt;501)*($L$7:$L$606&lt;=$M501)*($M$7:$M$606&gt;=$L501))&gt;0,"⚠ Çakışma","OK")))</f>
        <v/>
      </c>
      <c r="R501" s="28" t="str">
        <f aca="false">IF($A501="","",IF(OR($N501&lt;&gt;"",$O501="⚠ Çakışma",$P501="⚠ Çakışma",$Q501="⚠ Çakışma"),"⚠ Kontrol Et","✓ Uygun"))</f>
        <v/>
      </c>
    </row>
    <row r="502" customFormat="false" ht="13.5" hidden="false" customHeight="true" outlineLevel="0" collapsed="false">
      <c r="A502" s="28" t="str">
        <f aca="false">IF('3-Turizm İşletmeciliği'!A99="","","Turizm İşletmeciliği")</f>
        <v/>
      </c>
      <c r="B502" s="28" t="str">
        <f aca="false">IF($A502="","",IF('3-Turizm İşletmeciliği'!A99="","",'3-Turizm İşletmeciliği'!A99))</f>
        <v/>
      </c>
      <c r="C502" s="29" t="str">
        <f aca="false">IF($A502="","",IF('3-Turizm İşletmeciliği'!B99="","",'3-Turizm İşletmeciliği'!B99))</f>
        <v/>
      </c>
      <c r="D502" s="28" t="str">
        <f aca="false">IF($A502="","",IF('3-Turizm İşletmeciliği'!C99="","",'3-Turizm İşletmeciliği'!C99))</f>
        <v/>
      </c>
      <c r="E502" s="28" t="str">
        <f aca="false">IF($A502="","",$A502&amp;"-"&amp;$D502)</f>
        <v/>
      </c>
      <c r="F502" s="28" t="str">
        <f aca="false">IF($A502="","",IF('3-Turizm İşletmeciliği'!D99="","",'3-Turizm İşletmeciliği'!D99))</f>
        <v/>
      </c>
      <c r="G502" s="28" t="str">
        <f aca="false">IF($A502="","",IF('3-Turizm İşletmeciliği'!E99="","",'3-Turizm İşletmeciliği'!E99))</f>
        <v/>
      </c>
      <c r="H502" s="28" t="str">
        <f aca="false">IF($A502="","",IF('3-Turizm İşletmeciliği'!F99="","",'3-Turizm İşletmeciliği'!F99))</f>
        <v/>
      </c>
      <c r="I502" s="28" t="str">
        <f aca="false">IF($A502="","",IF('3-Turizm İşletmeciliği'!G99="","",'3-Turizm İşletmeciliği'!G99))</f>
        <v/>
      </c>
      <c r="J502" s="28" t="str">
        <f aca="false">IF($A502="","",IF('3-Turizm İşletmeciliği'!H99="","",'3-Turizm İşletmeciliği'!H99))</f>
        <v/>
      </c>
      <c r="K502" s="28" t="str">
        <f aca="false">IF($A502="","",IF('3-Turizm İşletmeciliği'!I99="","",'3-Turizm İşletmeciliği'!I99))</f>
        <v/>
      </c>
      <c r="L502" s="28" t="str">
        <f aca="false">IF($I502="","",MATCH($I502,{"08.00";"09.00";"10.00";"11.00";"12.00";"13.00";"14.00";"15.00";"16.00";"17.00"},0))</f>
        <v/>
      </c>
      <c r="M502" s="28" t="str">
        <f aca="false">IF(OR($L502="",$J502=""),"",$L502+$J502-1)</f>
        <v/>
      </c>
      <c r="N502" s="28" t="str">
        <f aca="false">IF($A502="","",IF(OR($L502="",$M502=""),"",IF($M502&gt;10,"⚠ Saat Taşıyor","")))</f>
        <v/>
      </c>
      <c r="O502" s="28" t="str">
        <f aca="false">IF($A502="","",IF(OR($G502="",$H502="",$L502=""),"",IF(SUMPRODUCT(($A$7:$A$606&lt;&gt;"")*($G$7:$G$606=$G502)*($H$7:$H$606=$H502)*(ROW($A$7:$A$606)&lt;&gt;502)*($L$7:$L$606&lt;=$M502)*($M$7:$M$606&gt;=$L502))&gt;0,"⚠ Çakışma","OK")))</f>
        <v/>
      </c>
      <c r="P502" s="28" t="str">
        <f aca="false">IF($A502="","",IF(OR($K502="",$H502="",$L502=""),"",IF(SUMPRODUCT(($A$7:$A$606&lt;&gt;"")*($K$7:$K$606=$K502)*($H$7:$H$606=$H502)*(ROW($A$7:$A$606)&lt;&gt;502)*($L$7:$L$606&lt;=$M502)*($M$7:$M$606&gt;=$L502))&gt;0,"⚠ Çakışma","OK")))</f>
        <v/>
      </c>
      <c r="Q502" s="28" t="str">
        <f aca="false">IF($A502="","",IF(OR($E502="",$H502="",$L502=""),"",IF(SUMPRODUCT(($A$7:$A$606&lt;&gt;"")*($E$7:$E$606=$E502)*($H$7:$H$606=$H502)*(ROW($A$7:$A$606)&lt;&gt;502)*($L$7:$L$606&lt;=$M502)*($M$7:$M$606&gt;=$L502))&gt;0,"⚠ Çakışma","OK")))</f>
        <v/>
      </c>
      <c r="R502" s="28" t="str">
        <f aca="false">IF($A502="","",IF(OR($N502&lt;&gt;"",$O502="⚠ Çakışma",$P502="⚠ Çakışma",$Q502="⚠ Çakışma"),"⚠ Kontrol Et","✓ Uygun"))</f>
        <v/>
      </c>
    </row>
    <row r="503" customFormat="false" ht="13.5" hidden="false" customHeight="true" outlineLevel="0" collapsed="false">
      <c r="A503" s="28" t="str">
        <f aca="false">IF('3-Turizm İşletmeciliği'!A100="","","Turizm İşletmeciliği")</f>
        <v/>
      </c>
      <c r="B503" s="28" t="str">
        <f aca="false">IF($A503="","",IF('3-Turizm İşletmeciliği'!A100="","",'3-Turizm İşletmeciliği'!A100))</f>
        <v/>
      </c>
      <c r="C503" s="29" t="str">
        <f aca="false">IF($A503="","",IF('3-Turizm İşletmeciliği'!B100="","",'3-Turizm İşletmeciliği'!B100))</f>
        <v/>
      </c>
      <c r="D503" s="28" t="str">
        <f aca="false">IF($A503="","",IF('3-Turizm İşletmeciliği'!C100="","",'3-Turizm İşletmeciliği'!C100))</f>
        <v/>
      </c>
      <c r="E503" s="28" t="str">
        <f aca="false">IF($A503="","",$A503&amp;"-"&amp;$D503)</f>
        <v/>
      </c>
      <c r="F503" s="28" t="str">
        <f aca="false">IF($A503="","",IF('3-Turizm İşletmeciliği'!D100="","",'3-Turizm İşletmeciliği'!D100))</f>
        <v/>
      </c>
      <c r="G503" s="28" t="str">
        <f aca="false">IF($A503="","",IF('3-Turizm İşletmeciliği'!E100="","",'3-Turizm İşletmeciliği'!E100))</f>
        <v/>
      </c>
      <c r="H503" s="28" t="str">
        <f aca="false">IF($A503="","",IF('3-Turizm İşletmeciliği'!F100="","",'3-Turizm İşletmeciliği'!F100))</f>
        <v/>
      </c>
      <c r="I503" s="28" t="str">
        <f aca="false">IF($A503="","",IF('3-Turizm İşletmeciliği'!G100="","",'3-Turizm İşletmeciliği'!G100))</f>
        <v/>
      </c>
      <c r="J503" s="28" t="str">
        <f aca="false">IF($A503="","",IF('3-Turizm İşletmeciliği'!H100="","",'3-Turizm İşletmeciliği'!H100))</f>
        <v/>
      </c>
      <c r="K503" s="28" t="str">
        <f aca="false">IF($A503="","",IF('3-Turizm İşletmeciliği'!I100="","",'3-Turizm İşletmeciliği'!I100))</f>
        <v/>
      </c>
      <c r="L503" s="28" t="str">
        <f aca="false">IF($I503="","",MATCH($I503,{"08.00";"09.00";"10.00";"11.00";"12.00";"13.00";"14.00";"15.00";"16.00";"17.00"},0))</f>
        <v/>
      </c>
      <c r="M503" s="28" t="str">
        <f aca="false">IF(OR($L503="",$J503=""),"",$L503+$J503-1)</f>
        <v/>
      </c>
      <c r="N503" s="28" t="str">
        <f aca="false">IF($A503="","",IF(OR($L503="",$M503=""),"",IF($M503&gt;10,"⚠ Saat Taşıyor","")))</f>
        <v/>
      </c>
      <c r="O503" s="28" t="str">
        <f aca="false">IF($A503="","",IF(OR($G503="",$H503="",$L503=""),"",IF(SUMPRODUCT(($A$7:$A$606&lt;&gt;"")*($G$7:$G$606=$G503)*($H$7:$H$606=$H503)*(ROW($A$7:$A$606)&lt;&gt;503)*($L$7:$L$606&lt;=$M503)*($M$7:$M$606&gt;=$L503))&gt;0,"⚠ Çakışma","OK")))</f>
        <v/>
      </c>
      <c r="P503" s="28" t="str">
        <f aca="false">IF($A503="","",IF(OR($K503="",$H503="",$L503=""),"",IF(SUMPRODUCT(($A$7:$A$606&lt;&gt;"")*($K$7:$K$606=$K503)*($H$7:$H$606=$H503)*(ROW($A$7:$A$606)&lt;&gt;503)*($L$7:$L$606&lt;=$M503)*($M$7:$M$606&gt;=$L503))&gt;0,"⚠ Çakışma","OK")))</f>
        <v/>
      </c>
      <c r="Q503" s="28" t="str">
        <f aca="false">IF($A503="","",IF(OR($E503="",$H503="",$L503=""),"",IF(SUMPRODUCT(($A$7:$A$606&lt;&gt;"")*($E$7:$E$606=$E503)*($H$7:$H$606=$H503)*(ROW($A$7:$A$606)&lt;&gt;503)*($L$7:$L$606&lt;=$M503)*($M$7:$M$606&gt;=$L503))&gt;0,"⚠ Çakışma","OK")))</f>
        <v/>
      </c>
      <c r="R503" s="28" t="str">
        <f aca="false">IF($A503="","",IF(OR($N503&lt;&gt;"",$O503="⚠ Çakışma",$P503="⚠ Çakışma",$Q503="⚠ Çakışma"),"⚠ Kontrol Et","✓ Uygun"))</f>
        <v/>
      </c>
    </row>
    <row r="504" customFormat="false" ht="13.5" hidden="false" customHeight="true" outlineLevel="0" collapsed="false">
      <c r="A504" s="28" t="str">
        <f aca="false">IF('3-Turizm İşletmeciliği'!A101="","","Turizm İşletmeciliği")</f>
        <v/>
      </c>
      <c r="B504" s="28" t="str">
        <f aca="false">IF($A504="","",IF('3-Turizm İşletmeciliği'!A101="","",'3-Turizm İşletmeciliği'!A101))</f>
        <v/>
      </c>
      <c r="C504" s="29" t="str">
        <f aca="false">IF($A504="","",IF('3-Turizm İşletmeciliği'!B101="","",'3-Turizm İşletmeciliği'!B101))</f>
        <v/>
      </c>
      <c r="D504" s="28" t="str">
        <f aca="false">IF($A504="","",IF('3-Turizm İşletmeciliği'!C101="","",'3-Turizm İşletmeciliği'!C101))</f>
        <v/>
      </c>
      <c r="E504" s="28" t="str">
        <f aca="false">IF($A504="","",$A504&amp;"-"&amp;$D504)</f>
        <v/>
      </c>
      <c r="F504" s="28" t="str">
        <f aca="false">IF($A504="","",IF('3-Turizm İşletmeciliği'!D101="","",'3-Turizm İşletmeciliği'!D101))</f>
        <v/>
      </c>
      <c r="G504" s="28" t="str">
        <f aca="false">IF($A504="","",IF('3-Turizm İşletmeciliği'!E101="","",'3-Turizm İşletmeciliği'!E101))</f>
        <v/>
      </c>
      <c r="H504" s="28" t="str">
        <f aca="false">IF($A504="","",IF('3-Turizm İşletmeciliği'!F101="","",'3-Turizm İşletmeciliği'!F101))</f>
        <v/>
      </c>
      <c r="I504" s="28" t="str">
        <f aca="false">IF($A504="","",IF('3-Turizm İşletmeciliği'!G101="","",'3-Turizm İşletmeciliği'!G101))</f>
        <v/>
      </c>
      <c r="J504" s="28" t="str">
        <f aca="false">IF($A504="","",IF('3-Turizm İşletmeciliği'!H101="","",'3-Turizm İşletmeciliği'!H101))</f>
        <v/>
      </c>
      <c r="K504" s="28" t="str">
        <f aca="false">IF($A504="","",IF('3-Turizm İşletmeciliği'!I101="","",'3-Turizm İşletmeciliği'!I101))</f>
        <v/>
      </c>
      <c r="L504" s="28" t="str">
        <f aca="false">IF($I504="","",MATCH($I504,{"08.00";"09.00";"10.00";"11.00";"12.00";"13.00";"14.00";"15.00";"16.00";"17.00"},0))</f>
        <v/>
      </c>
      <c r="M504" s="28" t="str">
        <f aca="false">IF(OR($L504="",$J504=""),"",$L504+$J504-1)</f>
        <v/>
      </c>
      <c r="N504" s="28" t="str">
        <f aca="false">IF($A504="","",IF(OR($L504="",$M504=""),"",IF($M504&gt;10,"⚠ Saat Taşıyor","")))</f>
        <v/>
      </c>
      <c r="O504" s="28" t="str">
        <f aca="false">IF($A504="","",IF(OR($G504="",$H504="",$L504=""),"",IF(SUMPRODUCT(($A$7:$A$606&lt;&gt;"")*($G$7:$G$606=$G504)*($H$7:$H$606=$H504)*(ROW($A$7:$A$606)&lt;&gt;504)*($L$7:$L$606&lt;=$M504)*($M$7:$M$606&gt;=$L504))&gt;0,"⚠ Çakışma","OK")))</f>
        <v/>
      </c>
      <c r="P504" s="28" t="str">
        <f aca="false">IF($A504="","",IF(OR($K504="",$H504="",$L504=""),"",IF(SUMPRODUCT(($A$7:$A$606&lt;&gt;"")*($K$7:$K$606=$K504)*($H$7:$H$606=$H504)*(ROW($A$7:$A$606)&lt;&gt;504)*($L$7:$L$606&lt;=$M504)*($M$7:$M$606&gt;=$L504))&gt;0,"⚠ Çakışma","OK")))</f>
        <v/>
      </c>
      <c r="Q504" s="28" t="str">
        <f aca="false">IF($A504="","",IF(OR($E504="",$H504="",$L504=""),"",IF(SUMPRODUCT(($A$7:$A$606&lt;&gt;"")*($E$7:$E$606=$E504)*($H$7:$H$606=$H504)*(ROW($A$7:$A$606)&lt;&gt;504)*($L$7:$L$606&lt;=$M504)*($M$7:$M$606&gt;=$L504))&gt;0,"⚠ Çakışma","OK")))</f>
        <v/>
      </c>
      <c r="R504" s="28" t="str">
        <f aca="false">IF($A504="","",IF(OR($N504&lt;&gt;"",$O504="⚠ Çakışma",$P504="⚠ Çakışma",$Q504="⚠ Çakışma"),"⚠ Kontrol Et","✓ Uygun"))</f>
        <v/>
      </c>
    </row>
    <row r="505" customFormat="false" ht="13.5" hidden="false" customHeight="true" outlineLevel="0" collapsed="false">
      <c r="A505" s="28" t="str">
        <f aca="false">IF('3-Turizm İşletmeciliği'!A102="","","Turizm İşletmeciliği")</f>
        <v/>
      </c>
      <c r="B505" s="28" t="str">
        <f aca="false">IF($A505="","",IF('3-Turizm İşletmeciliği'!A102="","",'3-Turizm İşletmeciliği'!A102))</f>
        <v/>
      </c>
      <c r="C505" s="29" t="str">
        <f aca="false">IF($A505="","",IF('3-Turizm İşletmeciliği'!B102="","",'3-Turizm İşletmeciliği'!B102))</f>
        <v/>
      </c>
      <c r="D505" s="28" t="str">
        <f aca="false">IF($A505="","",IF('3-Turizm İşletmeciliği'!C102="","",'3-Turizm İşletmeciliği'!C102))</f>
        <v/>
      </c>
      <c r="E505" s="28" t="str">
        <f aca="false">IF($A505="","",$A505&amp;"-"&amp;$D505)</f>
        <v/>
      </c>
      <c r="F505" s="28" t="str">
        <f aca="false">IF($A505="","",IF('3-Turizm İşletmeciliği'!D102="","",'3-Turizm İşletmeciliği'!D102))</f>
        <v/>
      </c>
      <c r="G505" s="28" t="str">
        <f aca="false">IF($A505="","",IF('3-Turizm İşletmeciliği'!E102="","",'3-Turizm İşletmeciliği'!E102))</f>
        <v/>
      </c>
      <c r="H505" s="28" t="str">
        <f aca="false">IF($A505="","",IF('3-Turizm İşletmeciliği'!F102="","",'3-Turizm İşletmeciliği'!F102))</f>
        <v/>
      </c>
      <c r="I505" s="28" t="str">
        <f aca="false">IF($A505="","",IF('3-Turizm İşletmeciliği'!G102="","",'3-Turizm İşletmeciliği'!G102))</f>
        <v/>
      </c>
      <c r="J505" s="28" t="str">
        <f aca="false">IF($A505="","",IF('3-Turizm İşletmeciliği'!H102="","",'3-Turizm İşletmeciliği'!H102))</f>
        <v/>
      </c>
      <c r="K505" s="28" t="str">
        <f aca="false">IF($A505="","",IF('3-Turizm İşletmeciliği'!I102="","",'3-Turizm İşletmeciliği'!I102))</f>
        <v/>
      </c>
      <c r="L505" s="28" t="str">
        <f aca="false">IF($I505="","",MATCH($I505,{"08.00";"09.00";"10.00";"11.00";"12.00";"13.00";"14.00";"15.00";"16.00";"17.00"},0))</f>
        <v/>
      </c>
      <c r="M505" s="28" t="str">
        <f aca="false">IF(OR($L505="",$J505=""),"",$L505+$J505-1)</f>
        <v/>
      </c>
      <c r="N505" s="28" t="str">
        <f aca="false">IF($A505="","",IF(OR($L505="",$M505=""),"",IF($M505&gt;10,"⚠ Saat Taşıyor","")))</f>
        <v/>
      </c>
      <c r="O505" s="28" t="str">
        <f aca="false">IF($A505="","",IF(OR($G505="",$H505="",$L505=""),"",IF(SUMPRODUCT(($A$7:$A$606&lt;&gt;"")*($G$7:$G$606=$G505)*($H$7:$H$606=$H505)*(ROW($A$7:$A$606)&lt;&gt;505)*($L$7:$L$606&lt;=$M505)*($M$7:$M$606&gt;=$L505))&gt;0,"⚠ Çakışma","OK")))</f>
        <v/>
      </c>
      <c r="P505" s="28" t="str">
        <f aca="false">IF($A505="","",IF(OR($K505="",$H505="",$L505=""),"",IF(SUMPRODUCT(($A$7:$A$606&lt;&gt;"")*($K$7:$K$606=$K505)*($H$7:$H$606=$H505)*(ROW($A$7:$A$606)&lt;&gt;505)*($L$7:$L$606&lt;=$M505)*($M$7:$M$606&gt;=$L505))&gt;0,"⚠ Çakışma","OK")))</f>
        <v/>
      </c>
      <c r="Q505" s="28" t="str">
        <f aca="false">IF($A505="","",IF(OR($E505="",$H505="",$L505=""),"",IF(SUMPRODUCT(($A$7:$A$606&lt;&gt;"")*($E$7:$E$606=$E505)*($H$7:$H$606=$H505)*(ROW($A$7:$A$606)&lt;&gt;505)*($L$7:$L$606&lt;=$M505)*($M$7:$M$606&gt;=$L505))&gt;0,"⚠ Çakışma","OK")))</f>
        <v/>
      </c>
      <c r="R505" s="28" t="str">
        <f aca="false">IF($A505="","",IF(OR($N505&lt;&gt;"",$O505="⚠ Çakışma",$P505="⚠ Çakışma",$Q505="⚠ Çakışma"),"⚠ Kontrol Et","✓ Uygun"))</f>
        <v/>
      </c>
    </row>
    <row r="506" customFormat="false" ht="13.5" hidden="false" customHeight="true" outlineLevel="0" collapsed="false">
      <c r="A506" s="28" t="str">
        <f aca="false">IF('3-Turizm İşletmeciliği'!A103="","","Turizm İşletmeciliği")</f>
        <v/>
      </c>
      <c r="B506" s="28" t="str">
        <f aca="false">IF($A506="","",IF('3-Turizm İşletmeciliği'!A103="","",'3-Turizm İşletmeciliği'!A103))</f>
        <v/>
      </c>
      <c r="C506" s="29" t="str">
        <f aca="false">IF($A506="","",IF('3-Turizm İşletmeciliği'!B103="","",'3-Turizm İşletmeciliği'!B103))</f>
        <v/>
      </c>
      <c r="D506" s="28" t="str">
        <f aca="false">IF($A506="","",IF('3-Turizm İşletmeciliği'!C103="","",'3-Turizm İşletmeciliği'!C103))</f>
        <v/>
      </c>
      <c r="E506" s="28" t="str">
        <f aca="false">IF($A506="","",$A506&amp;"-"&amp;$D506)</f>
        <v/>
      </c>
      <c r="F506" s="28" t="str">
        <f aca="false">IF($A506="","",IF('3-Turizm İşletmeciliği'!D103="","",'3-Turizm İşletmeciliği'!D103))</f>
        <v/>
      </c>
      <c r="G506" s="28" t="str">
        <f aca="false">IF($A506="","",IF('3-Turizm İşletmeciliği'!E103="","",'3-Turizm İşletmeciliği'!E103))</f>
        <v/>
      </c>
      <c r="H506" s="28" t="str">
        <f aca="false">IF($A506="","",IF('3-Turizm İşletmeciliği'!F103="","",'3-Turizm İşletmeciliği'!F103))</f>
        <v/>
      </c>
      <c r="I506" s="28" t="str">
        <f aca="false">IF($A506="","",IF('3-Turizm İşletmeciliği'!G103="","",'3-Turizm İşletmeciliği'!G103))</f>
        <v/>
      </c>
      <c r="J506" s="28" t="str">
        <f aca="false">IF($A506="","",IF('3-Turizm İşletmeciliği'!H103="","",'3-Turizm İşletmeciliği'!H103))</f>
        <v/>
      </c>
      <c r="K506" s="28" t="str">
        <f aca="false">IF($A506="","",IF('3-Turizm İşletmeciliği'!I103="","",'3-Turizm İşletmeciliği'!I103))</f>
        <v/>
      </c>
      <c r="L506" s="28" t="str">
        <f aca="false">IF($I506="","",MATCH($I506,{"08.00";"09.00";"10.00";"11.00";"12.00";"13.00";"14.00";"15.00";"16.00";"17.00"},0))</f>
        <v/>
      </c>
      <c r="M506" s="28" t="str">
        <f aca="false">IF(OR($L506="",$J506=""),"",$L506+$J506-1)</f>
        <v/>
      </c>
      <c r="N506" s="28" t="str">
        <f aca="false">IF($A506="","",IF(OR($L506="",$M506=""),"",IF($M506&gt;10,"⚠ Saat Taşıyor","")))</f>
        <v/>
      </c>
      <c r="O506" s="28" t="str">
        <f aca="false">IF($A506="","",IF(OR($G506="",$H506="",$L506=""),"",IF(SUMPRODUCT(($A$7:$A$606&lt;&gt;"")*($G$7:$G$606=$G506)*($H$7:$H$606=$H506)*(ROW($A$7:$A$606)&lt;&gt;506)*($L$7:$L$606&lt;=$M506)*($M$7:$M$606&gt;=$L506))&gt;0,"⚠ Çakışma","OK")))</f>
        <v/>
      </c>
      <c r="P506" s="28" t="str">
        <f aca="false">IF($A506="","",IF(OR($K506="",$H506="",$L506=""),"",IF(SUMPRODUCT(($A$7:$A$606&lt;&gt;"")*($K$7:$K$606=$K506)*($H$7:$H$606=$H506)*(ROW($A$7:$A$606)&lt;&gt;506)*($L$7:$L$606&lt;=$M506)*($M$7:$M$606&gt;=$L506))&gt;0,"⚠ Çakışma","OK")))</f>
        <v/>
      </c>
      <c r="Q506" s="28" t="str">
        <f aca="false">IF($A506="","",IF(OR($E506="",$H506="",$L506=""),"",IF(SUMPRODUCT(($A$7:$A$606&lt;&gt;"")*($E$7:$E$606=$E506)*($H$7:$H$606=$H506)*(ROW($A$7:$A$606)&lt;&gt;506)*($L$7:$L$606&lt;=$M506)*($M$7:$M$606&gt;=$L506))&gt;0,"⚠ Çakışma","OK")))</f>
        <v/>
      </c>
      <c r="R506" s="28" t="str">
        <f aca="false">IF($A506="","",IF(OR($N506&lt;&gt;"",$O506="⚠ Çakışma",$P506="⚠ Çakışma",$Q506="⚠ Çakışma"),"⚠ Kontrol Et","✓ Uygun"))</f>
        <v/>
      </c>
    </row>
    <row r="507" customFormat="false" ht="13.5" hidden="false" customHeight="true" outlineLevel="0" collapsed="false">
      <c r="A507" s="28" t="str">
        <f aca="false">IF('3-Turizm İşletmeciliği'!A104="","","Turizm İşletmeciliği")</f>
        <v/>
      </c>
      <c r="B507" s="28" t="str">
        <f aca="false">IF($A507="","",IF('3-Turizm İşletmeciliği'!A104="","",'3-Turizm İşletmeciliği'!A104))</f>
        <v/>
      </c>
      <c r="C507" s="29" t="str">
        <f aca="false">IF($A507="","",IF('3-Turizm İşletmeciliği'!B104="","",'3-Turizm İşletmeciliği'!B104))</f>
        <v/>
      </c>
      <c r="D507" s="28" t="str">
        <f aca="false">IF($A507="","",IF('3-Turizm İşletmeciliği'!C104="","",'3-Turizm İşletmeciliği'!C104))</f>
        <v/>
      </c>
      <c r="E507" s="28" t="str">
        <f aca="false">IF($A507="","",$A507&amp;"-"&amp;$D507)</f>
        <v/>
      </c>
      <c r="F507" s="28" t="str">
        <f aca="false">IF($A507="","",IF('3-Turizm İşletmeciliği'!D104="","",'3-Turizm İşletmeciliği'!D104))</f>
        <v/>
      </c>
      <c r="G507" s="28" t="str">
        <f aca="false">IF($A507="","",IF('3-Turizm İşletmeciliği'!E104="","",'3-Turizm İşletmeciliği'!E104))</f>
        <v/>
      </c>
      <c r="H507" s="28" t="str">
        <f aca="false">IF($A507="","",IF('3-Turizm İşletmeciliği'!F104="","",'3-Turizm İşletmeciliği'!F104))</f>
        <v/>
      </c>
      <c r="I507" s="28" t="str">
        <f aca="false">IF($A507="","",IF('3-Turizm İşletmeciliği'!G104="","",'3-Turizm İşletmeciliği'!G104))</f>
        <v/>
      </c>
      <c r="J507" s="28" t="str">
        <f aca="false">IF($A507="","",IF('3-Turizm İşletmeciliği'!H104="","",'3-Turizm İşletmeciliği'!H104))</f>
        <v/>
      </c>
      <c r="K507" s="28" t="str">
        <f aca="false">IF($A507="","",IF('3-Turizm İşletmeciliği'!I104="","",'3-Turizm İşletmeciliği'!I104))</f>
        <v/>
      </c>
      <c r="L507" s="28" t="str">
        <f aca="false">IF($I507="","",MATCH($I507,{"08.00";"09.00";"10.00";"11.00";"12.00";"13.00";"14.00";"15.00";"16.00";"17.00"},0))</f>
        <v/>
      </c>
      <c r="M507" s="28" t="str">
        <f aca="false">IF(OR($L507="",$J507=""),"",$L507+$J507-1)</f>
        <v/>
      </c>
      <c r="N507" s="28" t="str">
        <f aca="false">IF($A507="","",IF(OR($L507="",$M507=""),"",IF($M507&gt;10,"⚠ Saat Taşıyor","")))</f>
        <v/>
      </c>
      <c r="O507" s="28" t="str">
        <f aca="false">IF($A507="","",IF(OR($G507="",$H507="",$L507=""),"",IF(SUMPRODUCT(($A$7:$A$606&lt;&gt;"")*($G$7:$G$606=$G507)*($H$7:$H$606=$H507)*(ROW($A$7:$A$606)&lt;&gt;507)*($L$7:$L$606&lt;=$M507)*($M$7:$M$606&gt;=$L507))&gt;0,"⚠ Çakışma","OK")))</f>
        <v/>
      </c>
      <c r="P507" s="28" t="str">
        <f aca="false">IF($A507="","",IF(OR($K507="",$H507="",$L507=""),"",IF(SUMPRODUCT(($A$7:$A$606&lt;&gt;"")*($K$7:$K$606=$K507)*($H$7:$H$606=$H507)*(ROW($A$7:$A$606)&lt;&gt;507)*($L$7:$L$606&lt;=$M507)*($M$7:$M$606&gt;=$L507))&gt;0,"⚠ Çakışma","OK")))</f>
        <v/>
      </c>
      <c r="Q507" s="28" t="str">
        <f aca="false">IF($A507="","",IF(OR($E507="",$H507="",$L507=""),"",IF(SUMPRODUCT(($A$7:$A$606&lt;&gt;"")*($E$7:$E$606=$E507)*($H$7:$H$606=$H507)*(ROW($A$7:$A$606)&lt;&gt;507)*($L$7:$L$606&lt;=$M507)*($M$7:$M$606&gt;=$L507))&gt;0,"⚠ Çakışma","OK")))</f>
        <v/>
      </c>
      <c r="R507" s="28" t="str">
        <f aca="false">IF($A507="","",IF(OR($N507&lt;&gt;"",$O507="⚠ Çakışma",$P507="⚠ Çakışma",$Q507="⚠ Çakışma"),"⚠ Kontrol Et","✓ Uygun"))</f>
        <v/>
      </c>
    </row>
    <row r="508" customFormat="false" ht="13.5" hidden="false" customHeight="true" outlineLevel="0" collapsed="false">
      <c r="A508" s="28" t="str">
        <f aca="false">IF('3-Turizm İşletmeciliği'!A105="","","Turizm İşletmeciliği")</f>
        <v/>
      </c>
      <c r="B508" s="28" t="str">
        <f aca="false">IF($A508="","",IF('3-Turizm İşletmeciliği'!A105="","",'3-Turizm İşletmeciliği'!A105))</f>
        <v/>
      </c>
      <c r="C508" s="29" t="str">
        <f aca="false">IF($A508="","",IF('3-Turizm İşletmeciliği'!B105="","",'3-Turizm İşletmeciliği'!B105))</f>
        <v/>
      </c>
      <c r="D508" s="28" t="str">
        <f aca="false">IF($A508="","",IF('3-Turizm İşletmeciliği'!C105="","",'3-Turizm İşletmeciliği'!C105))</f>
        <v/>
      </c>
      <c r="E508" s="28" t="str">
        <f aca="false">IF($A508="","",$A508&amp;"-"&amp;$D508)</f>
        <v/>
      </c>
      <c r="F508" s="28" t="str">
        <f aca="false">IF($A508="","",IF('3-Turizm İşletmeciliği'!D105="","",'3-Turizm İşletmeciliği'!D105))</f>
        <v/>
      </c>
      <c r="G508" s="28" t="str">
        <f aca="false">IF($A508="","",IF('3-Turizm İşletmeciliği'!E105="","",'3-Turizm İşletmeciliği'!E105))</f>
        <v/>
      </c>
      <c r="H508" s="28" t="str">
        <f aca="false">IF($A508="","",IF('3-Turizm İşletmeciliği'!F105="","",'3-Turizm İşletmeciliği'!F105))</f>
        <v/>
      </c>
      <c r="I508" s="28" t="str">
        <f aca="false">IF($A508="","",IF('3-Turizm İşletmeciliği'!G105="","",'3-Turizm İşletmeciliği'!G105))</f>
        <v/>
      </c>
      <c r="J508" s="28" t="str">
        <f aca="false">IF($A508="","",IF('3-Turizm İşletmeciliği'!H105="","",'3-Turizm İşletmeciliği'!H105))</f>
        <v/>
      </c>
      <c r="K508" s="28" t="str">
        <f aca="false">IF($A508="","",IF('3-Turizm İşletmeciliği'!I105="","",'3-Turizm İşletmeciliği'!I105))</f>
        <v/>
      </c>
      <c r="L508" s="28" t="str">
        <f aca="false">IF($I508="","",MATCH($I508,{"08.00";"09.00";"10.00";"11.00";"12.00";"13.00";"14.00";"15.00";"16.00";"17.00"},0))</f>
        <v/>
      </c>
      <c r="M508" s="28" t="str">
        <f aca="false">IF(OR($L508="",$J508=""),"",$L508+$J508-1)</f>
        <v/>
      </c>
      <c r="N508" s="28" t="str">
        <f aca="false">IF($A508="","",IF(OR($L508="",$M508=""),"",IF($M508&gt;10,"⚠ Saat Taşıyor","")))</f>
        <v/>
      </c>
      <c r="O508" s="28" t="str">
        <f aca="false">IF($A508="","",IF(OR($G508="",$H508="",$L508=""),"",IF(SUMPRODUCT(($A$7:$A$606&lt;&gt;"")*($G$7:$G$606=$G508)*($H$7:$H$606=$H508)*(ROW($A$7:$A$606)&lt;&gt;508)*($L$7:$L$606&lt;=$M508)*($M$7:$M$606&gt;=$L508))&gt;0,"⚠ Çakışma","OK")))</f>
        <v/>
      </c>
      <c r="P508" s="28" t="str">
        <f aca="false">IF($A508="","",IF(OR($K508="",$H508="",$L508=""),"",IF(SUMPRODUCT(($A$7:$A$606&lt;&gt;"")*($K$7:$K$606=$K508)*($H$7:$H$606=$H508)*(ROW($A$7:$A$606)&lt;&gt;508)*($L$7:$L$606&lt;=$M508)*($M$7:$M$606&gt;=$L508))&gt;0,"⚠ Çakışma","OK")))</f>
        <v/>
      </c>
      <c r="Q508" s="28" t="str">
        <f aca="false">IF($A508="","",IF(OR($E508="",$H508="",$L508=""),"",IF(SUMPRODUCT(($A$7:$A$606&lt;&gt;"")*($E$7:$E$606=$E508)*($H$7:$H$606=$H508)*(ROW($A$7:$A$606)&lt;&gt;508)*($L$7:$L$606&lt;=$M508)*($M$7:$M$606&gt;=$L508))&gt;0,"⚠ Çakışma","OK")))</f>
        <v/>
      </c>
      <c r="R508" s="28" t="str">
        <f aca="false">IF($A508="","",IF(OR($N508&lt;&gt;"",$O508="⚠ Çakışma",$P508="⚠ Çakışma",$Q508="⚠ Çakışma"),"⚠ Kontrol Et","✓ Uygun"))</f>
        <v/>
      </c>
    </row>
    <row r="509" customFormat="false" ht="13.5" hidden="false" customHeight="true" outlineLevel="0" collapsed="false">
      <c r="A509" s="28" t="str">
        <f aca="false">IF('3-Turizm İşletmeciliği'!A106="","","Turizm İşletmeciliği")</f>
        <v/>
      </c>
      <c r="B509" s="28" t="str">
        <f aca="false">IF($A509="","",IF('3-Turizm İşletmeciliği'!A106="","",'3-Turizm İşletmeciliği'!A106))</f>
        <v/>
      </c>
      <c r="C509" s="29" t="str">
        <f aca="false">IF($A509="","",IF('3-Turizm İşletmeciliği'!B106="","",'3-Turizm İşletmeciliği'!B106))</f>
        <v/>
      </c>
      <c r="D509" s="28" t="str">
        <f aca="false">IF($A509="","",IF('3-Turizm İşletmeciliği'!C106="","",'3-Turizm İşletmeciliği'!C106))</f>
        <v/>
      </c>
      <c r="E509" s="28" t="str">
        <f aca="false">IF($A509="","",$A509&amp;"-"&amp;$D509)</f>
        <v/>
      </c>
      <c r="F509" s="28" t="str">
        <f aca="false">IF($A509="","",IF('3-Turizm İşletmeciliği'!D106="","",'3-Turizm İşletmeciliği'!D106))</f>
        <v/>
      </c>
      <c r="G509" s="28" t="str">
        <f aca="false">IF($A509="","",IF('3-Turizm İşletmeciliği'!E106="","",'3-Turizm İşletmeciliği'!E106))</f>
        <v/>
      </c>
      <c r="H509" s="28" t="str">
        <f aca="false">IF($A509="","",IF('3-Turizm İşletmeciliği'!F106="","",'3-Turizm İşletmeciliği'!F106))</f>
        <v/>
      </c>
      <c r="I509" s="28" t="str">
        <f aca="false">IF($A509="","",IF('3-Turizm İşletmeciliği'!G106="","",'3-Turizm İşletmeciliği'!G106))</f>
        <v/>
      </c>
      <c r="J509" s="28" t="str">
        <f aca="false">IF($A509="","",IF('3-Turizm İşletmeciliği'!H106="","",'3-Turizm İşletmeciliği'!H106))</f>
        <v/>
      </c>
      <c r="K509" s="28" t="str">
        <f aca="false">IF($A509="","",IF('3-Turizm İşletmeciliği'!I106="","",'3-Turizm İşletmeciliği'!I106))</f>
        <v/>
      </c>
      <c r="L509" s="28" t="str">
        <f aca="false">IF($I509="","",MATCH($I509,{"08.00";"09.00";"10.00";"11.00";"12.00";"13.00";"14.00";"15.00";"16.00";"17.00"},0))</f>
        <v/>
      </c>
      <c r="M509" s="28" t="str">
        <f aca="false">IF(OR($L509="",$J509=""),"",$L509+$J509-1)</f>
        <v/>
      </c>
      <c r="N509" s="28" t="str">
        <f aca="false">IF($A509="","",IF(OR($L509="",$M509=""),"",IF($M509&gt;10,"⚠ Saat Taşıyor","")))</f>
        <v/>
      </c>
      <c r="O509" s="28" t="str">
        <f aca="false">IF($A509="","",IF(OR($G509="",$H509="",$L509=""),"",IF(SUMPRODUCT(($A$7:$A$606&lt;&gt;"")*($G$7:$G$606=$G509)*($H$7:$H$606=$H509)*(ROW($A$7:$A$606)&lt;&gt;509)*($L$7:$L$606&lt;=$M509)*($M$7:$M$606&gt;=$L509))&gt;0,"⚠ Çakışma","OK")))</f>
        <v/>
      </c>
      <c r="P509" s="28" t="str">
        <f aca="false">IF($A509="","",IF(OR($K509="",$H509="",$L509=""),"",IF(SUMPRODUCT(($A$7:$A$606&lt;&gt;"")*($K$7:$K$606=$K509)*($H$7:$H$606=$H509)*(ROW($A$7:$A$606)&lt;&gt;509)*($L$7:$L$606&lt;=$M509)*($M$7:$M$606&gt;=$L509))&gt;0,"⚠ Çakışma","OK")))</f>
        <v/>
      </c>
      <c r="Q509" s="28" t="str">
        <f aca="false">IF($A509="","",IF(OR($E509="",$H509="",$L509=""),"",IF(SUMPRODUCT(($A$7:$A$606&lt;&gt;"")*($E$7:$E$606=$E509)*($H$7:$H$606=$H509)*(ROW($A$7:$A$606)&lt;&gt;509)*($L$7:$L$606&lt;=$M509)*($M$7:$M$606&gt;=$L509))&gt;0,"⚠ Çakışma","OK")))</f>
        <v/>
      </c>
      <c r="R509" s="28" t="str">
        <f aca="false">IF($A509="","",IF(OR($N509&lt;&gt;"",$O509="⚠ Çakışma",$P509="⚠ Çakışma",$Q509="⚠ Çakışma"),"⚠ Kontrol Et","✓ Uygun"))</f>
        <v/>
      </c>
    </row>
    <row r="510" customFormat="false" ht="13.5" hidden="false" customHeight="true" outlineLevel="0" collapsed="false">
      <c r="A510" s="28" t="str">
        <f aca="false">IF('3-Turizm İşletmeciliği'!A107="","","Turizm İşletmeciliği")</f>
        <v/>
      </c>
      <c r="B510" s="28" t="str">
        <f aca="false">IF($A510="","",IF('3-Turizm İşletmeciliği'!A107="","",'3-Turizm İşletmeciliği'!A107))</f>
        <v/>
      </c>
      <c r="C510" s="29" t="str">
        <f aca="false">IF($A510="","",IF('3-Turizm İşletmeciliği'!B107="","",'3-Turizm İşletmeciliği'!B107))</f>
        <v/>
      </c>
      <c r="D510" s="28" t="str">
        <f aca="false">IF($A510="","",IF('3-Turizm İşletmeciliği'!C107="","",'3-Turizm İşletmeciliği'!C107))</f>
        <v/>
      </c>
      <c r="E510" s="28" t="str">
        <f aca="false">IF($A510="","",$A510&amp;"-"&amp;$D510)</f>
        <v/>
      </c>
      <c r="F510" s="28" t="str">
        <f aca="false">IF($A510="","",IF('3-Turizm İşletmeciliği'!D107="","",'3-Turizm İşletmeciliği'!D107))</f>
        <v/>
      </c>
      <c r="G510" s="28" t="str">
        <f aca="false">IF($A510="","",IF('3-Turizm İşletmeciliği'!E107="","",'3-Turizm İşletmeciliği'!E107))</f>
        <v/>
      </c>
      <c r="H510" s="28" t="str">
        <f aca="false">IF($A510="","",IF('3-Turizm İşletmeciliği'!F107="","",'3-Turizm İşletmeciliği'!F107))</f>
        <v/>
      </c>
      <c r="I510" s="28" t="str">
        <f aca="false">IF($A510="","",IF('3-Turizm İşletmeciliği'!G107="","",'3-Turizm İşletmeciliği'!G107))</f>
        <v/>
      </c>
      <c r="J510" s="28" t="str">
        <f aca="false">IF($A510="","",IF('3-Turizm İşletmeciliği'!H107="","",'3-Turizm İşletmeciliği'!H107))</f>
        <v/>
      </c>
      <c r="K510" s="28" t="str">
        <f aca="false">IF($A510="","",IF('3-Turizm İşletmeciliği'!I107="","",'3-Turizm İşletmeciliği'!I107))</f>
        <v/>
      </c>
      <c r="L510" s="28" t="str">
        <f aca="false">IF($I510="","",MATCH($I510,{"08.00";"09.00";"10.00";"11.00";"12.00";"13.00";"14.00";"15.00";"16.00";"17.00"},0))</f>
        <v/>
      </c>
      <c r="M510" s="28" t="str">
        <f aca="false">IF(OR($L510="",$J510=""),"",$L510+$J510-1)</f>
        <v/>
      </c>
      <c r="N510" s="28" t="str">
        <f aca="false">IF($A510="","",IF(OR($L510="",$M510=""),"",IF($M510&gt;10,"⚠ Saat Taşıyor","")))</f>
        <v/>
      </c>
      <c r="O510" s="28" t="str">
        <f aca="false">IF($A510="","",IF(OR($G510="",$H510="",$L510=""),"",IF(SUMPRODUCT(($A$7:$A$606&lt;&gt;"")*($G$7:$G$606=$G510)*($H$7:$H$606=$H510)*(ROW($A$7:$A$606)&lt;&gt;510)*($L$7:$L$606&lt;=$M510)*($M$7:$M$606&gt;=$L510))&gt;0,"⚠ Çakışma","OK")))</f>
        <v/>
      </c>
      <c r="P510" s="28" t="str">
        <f aca="false">IF($A510="","",IF(OR($K510="",$H510="",$L510=""),"",IF(SUMPRODUCT(($A$7:$A$606&lt;&gt;"")*($K$7:$K$606=$K510)*($H$7:$H$606=$H510)*(ROW($A$7:$A$606)&lt;&gt;510)*($L$7:$L$606&lt;=$M510)*($M$7:$M$606&gt;=$L510))&gt;0,"⚠ Çakışma","OK")))</f>
        <v/>
      </c>
      <c r="Q510" s="28" t="str">
        <f aca="false">IF($A510="","",IF(OR($E510="",$H510="",$L510=""),"",IF(SUMPRODUCT(($A$7:$A$606&lt;&gt;"")*($E$7:$E$606=$E510)*($H$7:$H$606=$H510)*(ROW($A$7:$A$606)&lt;&gt;510)*($L$7:$L$606&lt;=$M510)*($M$7:$M$606&gt;=$L510))&gt;0,"⚠ Çakışma","OK")))</f>
        <v/>
      </c>
      <c r="R510" s="28" t="str">
        <f aca="false">IF($A510="","",IF(OR($N510&lt;&gt;"",$O510="⚠ Çakışma",$P510="⚠ Çakışma",$Q510="⚠ Çakışma"),"⚠ Kontrol Et","✓ Uygun"))</f>
        <v/>
      </c>
    </row>
    <row r="511" customFormat="false" ht="13.5" hidden="false" customHeight="true" outlineLevel="0" collapsed="false">
      <c r="A511" s="28" t="str">
        <f aca="false">IF('3-Turizm İşletmeciliği'!A108="","","Turizm İşletmeciliği")</f>
        <v/>
      </c>
      <c r="B511" s="28" t="str">
        <f aca="false">IF($A511="","",IF('3-Turizm İşletmeciliği'!A108="","",'3-Turizm İşletmeciliği'!A108))</f>
        <v/>
      </c>
      <c r="C511" s="29" t="str">
        <f aca="false">IF($A511="","",IF('3-Turizm İşletmeciliği'!B108="","",'3-Turizm İşletmeciliği'!B108))</f>
        <v/>
      </c>
      <c r="D511" s="28" t="str">
        <f aca="false">IF($A511="","",IF('3-Turizm İşletmeciliği'!C108="","",'3-Turizm İşletmeciliği'!C108))</f>
        <v/>
      </c>
      <c r="E511" s="28" t="str">
        <f aca="false">IF($A511="","",$A511&amp;"-"&amp;$D511)</f>
        <v/>
      </c>
      <c r="F511" s="28" t="str">
        <f aca="false">IF($A511="","",IF('3-Turizm İşletmeciliği'!D108="","",'3-Turizm İşletmeciliği'!D108))</f>
        <v/>
      </c>
      <c r="G511" s="28" t="str">
        <f aca="false">IF($A511="","",IF('3-Turizm İşletmeciliği'!E108="","",'3-Turizm İşletmeciliği'!E108))</f>
        <v/>
      </c>
      <c r="H511" s="28" t="str">
        <f aca="false">IF($A511="","",IF('3-Turizm İşletmeciliği'!F108="","",'3-Turizm İşletmeciliği'!F108))</f>
        <v/>
      </c>
      <c r="I511" s="28" t="str">
        <f aca="false">IF($A511="","",IF('3-Turizm İşletmeciliği'!G108="","",'3-Turizm İşletmeciliği'!G108))</f>
        <v/>
      </c>
      <c r="J511" s="28" t="str">
        <f aca="false">IF($A511="","",IF('3-Turizm İşletmeciliği'!H108="","",'3-Turizm İşletmeciliği'!H108))</f>
        <v/>
      </c>
      <c r="K511" s="28" t="str">
        <f aca="false">IF($A511="","",IF('3-Turizm İşletmeciliği'!I108="","",'3-Turizm İşletmeciliği'!I108))</f>
        <v/>
      </c>
      <c r="L511" s="28" t="str">
        <f aca="false">IF($I511="","",MATCH($I511,{"08.00";"09.00";"10.00";"11.00";"12.00";"13.00";"14.00";"15.00";"16.00";"17.00"},0))</f>
        <v/>
      </c>
      <c r="M511" s="28" t="str">
        <f aca="false">IF(OR($L511="",$J511=""),"",$L511+$J511-1)</f>
        <v/>
      </c>
      <c r="N511" s="28" t="str">
        <f aca="false">IF($A511="","",IF(OR($L511="",$M511=""),"",IF($M511&gt;10,"⚠ Saat Taşıyor","")))</f>
        <v/>
      </c>
      <c r="O511" s="28" t="str">
        <f aca="false">IF($A511="","",IF(OR($G511="",$H511="",$L511=""),"",IF(SUMPRODUCT(($A$7:$A$606&lt;&gt;"")*($G$7:$G$606=$G511)*($H$7:$H$606=$H511)*(ROW($A$7:$A$606)&lt;&gt;511)*($L$7:$L$606&lt;=$M511)*($M$7:$M$606&gt;=$L511))&gt;0,"⚠ Çakışma","OK")))</f>
        <v/>
      </c>
      <c r="P511" s="28" t="str">
        <f aca="false">IF($A511="","",IF(OR($K511="",$H511="",$L511=""),"",IF(SUMPRODUCT(($A$7:$A$606&lt;&gt;"")*($K$7:$K$606=$K511)*($H$7:$H$606=$H511)*(ROW($A$7:$A$606)&lt;&gt;511)*($L$7:$L$606&lt;=$M511)*($M$7:$M$606&gt;=$L511))&gt;0,"⚠ Çakışma","OK")))</f>
        <v/>
      </c>
      <c r="Q511" s="28" t="str">
        <f aca="false">IF($A511="","",IF(OR($E511="",$H511="",$L511=""),"",IF(SUMPRODUCT(($A$7:$A$606&lt;&gt;"")*($E$7:$E$606=$E511)*($H$7:$H$606=$H511)*(ROW($A$7:$A$606)&lt;&gt;511)*($L$7:$L$606&lt;=$M511)*($M$7:$M$606&gt;=$L511))&gt;0,"⚠ Çakışma","OK")))</f>
        <v/>
      </c>
      <c r="R511" s="28" t="str">
        <f aca="false">IF($A511="","",IF(OR($N511&lt;&gt;"",$O511="⚠ Çakışma",$P511="⚠ Çakışma",$Q511="⚠ Çakışma"),"⚠ Kontrol Et","✓ Uygun"))</f>
        <v/>
      </c>
    </row>
    <row r="512" customFormat="false" ht="13.5" hidden="false" customHeight="true" outlineLevel="0" collapsed="false">
      <c r="A512" s="28" t="str">
        <f aca="false">IF('3-Turizm İşletmeciliği'!A109="","","Turizm İşletmeciliği")</f>
        <v/>
      </c>
      <c r="B512" s="28" t="str">
        <f aca="false">IF($A512="","",IF('3-Turizm İşletmeciliği'!A109="","",'3-Turizm İşletmeciliği'!A109))</f>
        <v/>
      </c>
      <c r="C512" s="29" t="str">
        <f aca="false">IF($A512="","",IF('3-Turizm İşletmeciliği'!B109="","",'3-Turizm İşletmeciliği'!B109))</f>
        <v/>
      </c>
      <c r="D512" s="28" t="str">
        <f aca="false">IF($A512="","",IF('3-Turizm İşletmeciliği'!C109="","",'3-Turizm İşletmeciliği'!C109))</f>
        <v/>
      </c>
      <c r="E512" s="28" t="str">
        <f aca="false">IF($A512="","",$A512&amp;"-"&amp;$D512)</f>
        <v/>
      </c>
      <c r="F512" s="28" t="str">
        <f aca="false">IF($A512="","",IF('3-Turizm İşletmeciliği'!D109="","",'3-Turizm İşletmeciliği'!D109))</f>
        <v/>
      </c>
      <c r="G512" s="28" t="str">
        <f aca="false">IF($A512="","",IF('3-Turizm İşletmeciliği'!E109="","",'3-Turizm İşletmeciliği'!E109))</f>
        <v/>
      </c>
      <c r="H512" s="28" t="str">
        <f aca="false">IF($A512="","",IF('3-Turizm İşletmeciliği'!F109="","",'3-Turizm İşletmeciliği'!F109))</f>
        <v/>
      </c>
      <c r="I512" s="28" t="str">
        <f aca="false">IF($A512="","",IF('3-Turizm İşletmeciliği'!G109="","",'3-Turizm İşletmeciliği'!G109))</f>
        <v/>
      </c>
      <c r="J512" s="28" t="str">
        <f aca="false">IF($A512="","",IF('3-Turizm İşletmeciliği'!H109="","",'3-Turizm İşletmeciliği'!H109))</f>
        <v/>
      </c>
      <c r="K512" s="28" t="str">
        <f aca="false">IF($A512="","",IF('3-Turizm İşletmeciliği'!I109="","",'3-Turizm İşletmeciliği'!I109))</f>
        <v/>
      </c>
      <c r="L512" s="28" t="str">
        <f aca="false">IF($I512="","",MATCH($I512,{"08.00";"09.00";"10.00";"11.00";"12.00";"13.00";"14.00";"15.00";"16.00";"17.00"},0))</f>
        <v/>
      </c>
      <c r="M512" s="28" t="str">
        <f aca="false">IF(OR($L512="",$J512=""),"",$L512+$J512-1)</f>
        <v/>
      </c>
      <c r="N512" s="28" t="str">
        <f aca="false">IF($A512="","",IF(OR($L512="",$M512=""),"",IF($M512&gt;10,"⚠ Saat Taşıyor","")))</f>
        <v/>
      </c>
      <c r="O512" s="28" t="str">
        <f aca="false">IF($A512="","",IF(OR($G512="",$H512="",$L512=""),"",IF(SUMPRODUCT(($A$7:$A$606&lt;&gt;"")*($G$7:$G$606=$G512)*($H$7:$H$606=$H512)*(ROW($A$7:$A$606)&lt;&gt;512)*($L$7:$L$606&lt;=$M512)*($M$7:$M$606&gt;=$L512))&gt;0,"⚠ Çakışma","OK")))</f>
        <v/>
      </c>
      <c r="P512" s="28" t="str">
        <f aca="false">IF($A512="","",IF(OR($K512="",$H512="",$L512=""),"",IF(SUMPRODUCT(($A$7:$A$606&lt;&gt;"")*($K$7:$K$606=$K512)*($H$7:$H$606=$H512)*(ROW($A$7:$A$606)&lt;&gt;512)*($L$7:$L$606&lt;=$M512)*($M$7:$M$606&gt;=$L512))&gt;0,"⚠ Çakışma","OK")))</f>
        <v/>
      </c>
      <c r="Q512" s="28" t="str">
        <f aca="false">IF($A512="","",IF(OR($E512="",$H512="",$L512=""),"",IF(SUMPRODUCT(($A$7:$A$606&lt;&gt;"")*($E$7:$E$606=$E512)*($H$7:$H$606=$H512)*(ROW($A$7:$A$606)&lt;&gt;512)*($L$7:$L$606&lt;=$M512)*($M$7:$M$606&gt;=$L512))&gt;0,"⚠ Çakışma","OK")))</f>
        <v/>
      </c>
      <c r="R512" s="28" t="str">
        <f aca="false">IF($A512="","",IF(OR($N512&lt;&gt;"",$O512="⚠ Çakışma",$P512="⚠ Çakışma",$Q512="⚠ Çakışma"),"⚠ Kontrol Et","✓ Uygun"))</f>
        <v/>
      </c>
    </row>
    <row r="513" customFormat="false" ht="13.5" hidden="false" customHeight="true" outlineLevel="0" collapsed="false">
      <c r="A513" s="28" t="str">
        <f aca="false">IF('3-Turizm İşletmeciliği'!A110="","","Turizm İşletmeciliği")</f>
        <v/>
      </c>
      <c r="B513" s="28" t="str">
        <f aca="false">IF($A513="","",IF('3-Turizm İşletmeciliği'!A110="","",'3-Turizm İşletmeciliği'!A110))</f>
        <v/>
      </c>
      <c r="C513" s="29" t="str">
        <f aca="false">IF($A513="","",IF('3-Turizm İşletmeciliği'!B110="","",'3-Turizm İşletmeciliği'!B110))</f>
        <v/>
      </c>
      <c r="D513" s="28" t="str">
        <f aca="false">IF($A513="","",IF('3-Turizm İşletmeciliği'!C110="","",'3-Turizm İşletmeciliği'!C110))</f>
        <v/>
      </c>
      <c r="E513" s="28" t="str">
        <f aca="false">IF($A513="","",$A513&amp;"-"&amp;$D513)</f>
        <v/>
      </c>
      <c r="F513" s="28" t="str">
        <f aca="false">IF($A513="","",IF('3-Turizm İşletmeciliği'!D110="","",'3-Turizm İşletmeciliği'!D110))</f>
        <v/>
      </c>
      <c r="G513" s="28" t="str">
        <f aca="false">IF($A513="","",IF('3-Turizm İşletmeciliği'!E110="","",'3-Turizm İşletmeciliği'!E110))</f>
        <v/>
      </c>
      <c r="H513" s="28" t="str">
        <f aca="false">IF($A513="","",IF('3-Turizm İşletmeciliği'!F110="","",'3-Turizm İşletmeciliği'!F110))</f>
        <v/>
      </c>
      <c r="I513" s="28" t="str">
        <f aca="false">IF($A513="","",IF('3-Turizm İşletmeciliği'!G110="","",'3-Turizm İşletmeciliği'!G110))</f>
        <v/>
      </c>
      <c r="J513" s="28" t="str">
        <f aca="false">IF($A513="","",IF('3-Turizm İşletmeciliği'!H110="","",'3-Turizm İşletmeciliği'!H110))</f>
        <v/>
      </c>
      <c r="K513" s="28" t="str">
        <f aca="false">IF($A513="","",IF('3-Turizm İşletmeciliği'!I110="","",'3-Turizm İşletmeciliği'!I110))</f>
        <v/>
      </c>
      <c r="L513" s="28" t="str">
        <f aca="false">IF($I513="","",MATCH($I513,{"08.00";"09.00";"10.00";"11.00";"12.00";"13.00";"14.00";"15.00";"16.00";"17.00"},0))</f>
        <v/>
      </c>
      <c r="M513" s="28" t="str">
        <f aca="false">IF(OR($L513="",$J513=""),"",$L513+$J513-1)</f>
        <v/>
      </c>
      <c r="N513" s="28" t="str">
        <f aca="false">IF($A513="","",IF(OR($L513="",$M513=""),"",IF($M513&gt;10,"⚠ Saat Taşıyor","")))</f>
        <v/>
      </c>
      <c r="O513" s="28" t="str">
        <f aca="false">IF($A513="","",IF(OR($G513="",$H513="",$L513=""),"",IF(SUMPRODUCT(($A$7:$A$606&lt;&gt;"")*($G$7:$G$606=$G513)*($H$7:$H$606=$H513)*(ROW($A$7:$A$606)&lt;&gt;513)*($L$7:$L$606&lt;=$M513)*($M$7:$M$606&gt;=$L513))&gt;0,"⚠ Çakışma","OK")))</f>
        <v/>
      </c>
      <c r="P513" s="28" t="str">
        <f aca="false">IF($A513="","",IF(OR($K513="",$H513="",$L513=""),"",IF(SUMPRODUCT(($A$7:$A$606&lt;&gt;"")*($K$7:$K$606=$K513)*($H$7:$H$606=$H513)*(ROW($A$7:$A$606)&lt;&gt;513)*($L$7:$L$606&lt;=$M513)*($M$7:$M$606&gt;=$L513))&gt;0,"⚠ Çakışma","OK")))</f>
        <v/>
      </c>
      <c r="Q513" s="28" t="str">
        <f aca="false">IF($A513="","",IF(OR($E513="",$H513="",$L513=""),"",IF(SUMPRODUCT(($A$7:$A$606&lt;&gt;"")*($E$7:$E$606=$E513)*($H$7:$H$606=$H513)*(ROW($A$7:$A$606)&lt;&gt;513)*($L$7:$L$606&lt;=$M513)*($M$7:$M$606&gt;=$L513))&gt;0,"⚠ Çakışma","OK")))</f>
        <v/>
      </c>
      <c r="R513" s="28" t="str">
        <f aca="false">IF($A513="","",IF(OR($N513&lt;&gt;"",$O513="⚠ Çakışma",$P513="⚠ Çakışma",$Q513="⚠ Çakışma"),"⚠ Kontrol Et","✓ Uygun"))</f>
        <v/>
      </c>
    </row>
    <row r="514" customFormat="false" ht="13.5" hidden="false" customHeight="true" outlineLevel="0" collapsed="false">
      <c r="A514" s="28" t="str">
        <f aca="false">IF('3-Turizm İşletmeciliği'!A111="","","Turizm İşletmeciliği")</f>
        <v/>
      </c>
      <c r="B514" s="28" t="str">
        <f aca="false">IF($A514="","",IF('3-Turizm İşletmeciliği'!A111="","",'3-Turizm İşletmeciliği'!A111))</f>
        <v/>
      </c>
      <c r="C514" s="29" t="str">
        <f aca="false">IF($A514="","",IF('3-Turizm İşletmeciliği'!B111="","",'3-Turizm İşletmeciliği'!B111))</f>
        <v/>
      </c>
      <c r="D514" s="28" t="str">
        <f aca="false">IF($A514="","",IF('3-Turizm İşletmeciliği'!C111="","",'3-Turizm İşletmeciliği'!C111))</f>
        <v/>
      </c>
      <c r="E514" s="28" t="str">
        <f aca="false">IF($A514="","",$A514&amp;"-"&amp;$D514)</f>
        <v/>
      </c>
      <c r="F514" s="28" t="str">
        <f aca="false">IF($A514="","",IF('3-Turizm İşletmeciliği'!D111="","",'3-Turizm İşletmeciliği'!D111))</f>
        <v/>
      </c>
      <c r="G514" s="28" t="str">
        <f aca="false">IF($A514="","",IF('3-Turizm İşletmeciliği'!E111="","",'3-Turizm İşletmeciliği'!E111))</f>
        <v/>
      </c>
      <c r="H514" s="28" t="str">
        <f aca="false">IF($A514="","",IF('3-Turizm İşletmeciliği'!F111="","",'3-Turizm İşletmeciliği'!F111))</f>
        <v/>
      </c>
      <c r="I514" s="28" t="str">
        <f aca="false">IF($A514="","",IF('3-Turizm İşletmeciliği'!G111="","",'3-Turizm İşletmeciliği'!G111))</f>
        <v/>
      </c>
      <c r="J514" s="28" t="str">
        <f aca="false">IF($A514="","",IF('3-Turizm İşletmeciliği'!H111="","",'3-Turizm İşletmeciliği'!H111))</f>
        <v/>
      </c>
      <c r="K514" s="28" t="str">
        <f aca="false">IF($A514="","",IF('3-Turizm İşletmeciliği'!I111="","",'3-Turizm İşletmeciliği'!I111))</f>
        <v/>
      </c>
      <c r="L514" s="28" t="str">
        <f aca="false">IF($I514="","",MATCH($I514,{"08.00";"09.00";"10.00";"11.00";"12.00";"13.00";"14.00";"15.00";"16.00";"17.00"},0))</f>
        <v/>
      </c>
      <c r="M514" s="28" t="str">
        <f aca="false">IF(OR($L514="",$J514=""),"",$L514+$J514-1)</f>
        <v/>
      </c>
      <c r="N514" s="28" t="str">
        <f aca="false">IF($A514="","",IF(OR($L514="",$M514=""),"",IF($M514&gt;10,"⚠ Saat Taşıyor","")))</f>
        <v/>
      </c>
      <c r="O514" s="28" t="str">
        <f aca="false">IF($A514="","",IF(OR($G514="",$H514="",$L514=""),"",IF(SUMPRODUCT(($A$7:$A$606&lt;&gt;"")*($G$7:$G$606=$G514)*($H$7:$H$606=$H514)*(ROW($A$7:$A$606)&lt;&gt;514)*($L$7:$L$606&lt;=$M514)*($M$7:$M$606&gt;=$L514))&gt;0,"⚠ Çakışma","OK")))</f>
        <v/>
      </c>
      <c r="P514" s="28" t="str">
        <f aca="false">IF($A514="","",IF(OR($K514="",$H514="",$L514=""),"",IF(SUMPRODUCT(($A$7:$A$606&lt;&gt;"")*($K$7:$K$606=$K514)*($H$7:$H$606=$H514)*(ROW($A$7:$A$606)&lt;&gt;514)*($L$7:$L$606&lt;=$M514)*($M$7:$M$606&gt;=$L514))&gt;0,"⚠ Çakışma","OK")))</f>
        <v/>
      </c>
      <c r="Q514" s="28" t="str">
        <f aca="false">IF($A514="","",IF(OR($E514="",$H514="",$L514=""),"",IF(SUMPRODUCT(($A$7:$A$606&lt;&gt;"")*($E$7:$E$606=$E514)*($H$7:$H$606=$H514)*(ROW($A$7:$A$606)&lt;&gt;514)*($L$7:$L$606&lt;=$M514)*($M$7:$M$606&gt;=$L514))&gt;0,"⚠ Çakışma","OK")))</f>
        <v/>
      </c>
      <c r="R514" s="28" t="str">
        <f aca="false">IF($A514="","",IF(OR($N514&lt;&gt;"",$O514="⚠ Çakışma",$P514="⚠ Çakışma",$Q514="⚠ Çakışma"),"⚠ Kontrol Et","✓ Uygun"))</f>
        <v/>
      </c>
    </row>
    <row r="515" customFormat="false" ht="13.5" hidden="false" customHeight="true" outlineLevel="0" collapsed="false">
      <c r="A515" s="28" t="str">
        <f aca="false">IF('3-Turizm İşletmeciliği'!A112="","","Turizm İşletmeciliği")</f>
        <v/>
      </c>
      <c r="B515" s="28" t="str">
        <f aca="false">IF($A515="","",IF('3-Turizm İşletmeciliği'!A112="","",'3-Turizm İşletmeciliği'!A112))</f>
        <v/>
      </c>
      <c r="C515" s="29" t="str">
        <f aca="false">IF($A515="","",IF('3-Turizm İşletmeciliği'!B112="","",'3-Turizm İşletmeciliği'!B112))</f>
        <v/>
      </c>
      <c r="D515" s="28" t="str">
        <f aca="false">IF($A515="","",IF('3-Turizm İşletmeciliği'!C112="","",'3-Turizm İşletmeciliği'!C112))</f>
        <v/>
      </c>
      <c r="E515" s="28" t="str">
        <f aca="false">IF($A515="","",$A515&amp;"-"&amp;$D515)</f>
        <v/>
      </c>
      <c r="F515" s="28" t="str">
        <f aca="false">IF($A515="","",IF('3-Turizm İşletmeciliği'!D112="","",'3-Turizm İşletmeciliği'!D112))</f>
        <v/>
      </c>
      <c r="G515" s="28" t="str">
        <f aca="false">IF($A515="","",IF('3-Turizm İşletmeciliği'!E112="","",'3-Turizm İşletmeciliği'!E112))</f>
        <v/>
      </c>
      <c r="H515" s="28" t="str">
        <f aca="false">IF($A515="","",IF('3-Turizm İşletmeciliği'!F112="","",'3-Turizm İşletmeciliği'!F112))</f>
        <v/>
      </c>
      <c r="I515" s="28" t="str">
        <f aca="false">IF($A515="","",IF('3-Turizm İşletmeciliği'!G112="","",'3-Turizm İşletmeciliği'!G112))</f>
        <v/>
      </c>
      <c r="J515" s="28" t="str">
        <f aca="false">IF($A515="","",IF('3-Turizm İşletmeciliği'!H112="","",'3-Turizm İşletmeciliği'!H112))</f>
        <v/>
      </c>
      <c r="K515" s="28" t="str">
        <f aca="false">IF($A515="","",IF('3-Turizm İşletmeciliği'!I112="","",'3-Turizm İşletmeciliği'!I112))</f>
        <v/>
      </c>
      <c r="L515" s="28" t="str">
        <f aca="false">IF($I515="","",MATCH($I515,{"08.00";"09.00";"10.00";"11.00";"12.00";"13.00";"14.00";"15.00";"16.00";"17.00"},0))</f>
        <v/>
      </c>
      <c r="M515" s="28" t="str">
        <f aca="false">IF(OR($L515="",$J515=""),"",$L515+$J515-1)</f>
        <v/>
      </c>
      <c r="N515" s="28" t="str">
        <f aca="false">IF($A515="","",IF(OR($L515="",$M515=""),"",IF($M515&gt;10,"⚠ Saat Taşıyor","")))</f>
        <v/>
      </c>
      <c r="O515" s="28" t="str">
        <f aca="false">IF($A515="","",IF(OR($G515="",$H515="",$L515=""),"",IF(SUMPRODUCT(($A$7:$A$606&lt;&gt;"")*($G$7:$G$606=$G515)*($H$7:$H$606=$H515)*(ROW($A$7:$A$606)&lt;&gt;515)*($L$7:$L$606&lt;=$M515)*($M$7:$M$606&gt;=$L515))&gt;0,"⚠ Çakışma","OK")))</f>
        <v/>
      </c>
      <c r="P515" s="28" t="str">
        <f aca="false">IF($A515="","",IF(OR($K515="",$H515="",$L515=""),"",IF(SUMPRODUCT(($A$7:$A$606&lt;&gt;"")*($K$7:$K$606=$K515)*($H$7:$H$606=$H515)*(ROW($A$7:$A$606)&lt;&gt;515)*($L$7:$L$606&lt;=$M515)*($M$7:$M$606&gt;=$L515))&gt;0,"⚠ Çakışma","OK")))</f>
        <v/>
      </c>
      <c r="Q515" s="28" t="str">
        <f aca="false">IF($A515="","",IF(OR($E515="",$H515="",$L515=""),"",IF(SUMPRODUCT(($A$7:$A$606&lt;&gt;"")*($E$7:$E$606=$E515)*($H$7:$H$606=$H515)*(ROW($A$7:$A$606)&lt;&gt;515)*($L$7:$L$606&lt;=$M515)*($M$7:$M$606&gt;=$L515))&gt;0,"⚠ Çakışma","OK")))</f>
        <v/>
      </c>
      <c r="R515" s="28" t="str">
        <f aca="false">IF($A515="","",IF(OR($N515&lt;&gt;"",$O515="⚠ Çakışma",$P515="⚠ Çakışma",$Q515="⚠ Çakışma"),"⚠ Kontrol Et","✓ Uygun"))</f>
        <v/>
      </c>
    </row>
    <row r="516" customFormat="false" ht="13.5" hidden="false" customHeight="true" outlineLevel="0" collapsed="false">
      <c r="A516" s="28" t="str">
        <f aca="false">IF('3-Turizm İşletmeciliği'!A113="","","Turizm İşletmeciliği")</f>
        <v/>
      </c>
      <c r="B516" s="28" t="str">
        <f aca="false">IF($A516="","",IF('3-Turizm İşletmeciliği'!A113="","",'3-Turizm İşletmeciliği'!A113))</f>
        <v/>
      </c>
      <c r="C516" s="29" t="str">
        <f aca="false">IF($A516="","",IF('3-Turizm İşletmeciliği'!B113="","",'3-Turizm İşletmeciliği'!B113))</f>
        <v/>
      </c>
      <c r="D516" s="28" t="str">
        <f aca="false">IF($A516="","",IF('3-Turizm İşletmeciliği'!C113="","",'3-Turizm İşletmeciliği'!C113))</f>
        <v/>
      </c>
      <c r="E516" s="28" t="str">
        <f aca="false">IF($A516="","",$A516&amp;"-"&amp;$D516)</f>
        <v/>
      </c>
      <c r="F516" s="28" t="str">
        <f aca="false">IF($A516="","",IF('3-Turizm İşletmeciliği'!D113="","",'3-Turizm İşletmeciliği'!D113))</f>
        <v/>
      </c>
      <c r="G516" s="28" t="str">
        <f aca="false">IF($A516="","",IF('3-Turizm İşletmeciliği'!E113="","",'3-Turizm İşletmeciliği'!E113))</f>
        <v/>
      </c>
      <c r="H516" s="28" t="str">
        <f aca="false">IF($A516="","",IF('3-Turizm İşletmeciliği'!F113="","",'3-Turizm İşletmeciliği'!F113))</f>
        <v/>
      </c>
      <c r="I516" s="28" t="str">
        <f aca="false">IF($A516="","",IF('3-Turizm İşletmeciliği'!G113="","",'3-Turizm İşletmeciliği'!G113))</f>
        <v/>
      </c>
      <c r="J516" s="28" t="str">
        <f aca="false">IF($A516="","",IF('3-Turizm İşletmeciliği'!H113="","",'3-Turizm İşletmeciliği'!H113))</f>
        <v/>
      </c>
      <c r="K516" s="28" t="str">
        <f aca="false">IF($A516="","",IF('3-Turizm İşletmeciliği'!I113="","",'3-Turizm İşletmeciliği'!I113))</f>
        <v/>
      </c>
      <c r="L516" s="28" t="str">
        <f aca="false">IF($I516="","",MATCH($I516,{"08.00";"09.00";"10.00";"11.00";"12.00";"13.00";"14.00";"15.00";"16.00";"17.00"},0))</f>
        <v/>
      </c>
      <c r="M516" s="28" t="str">
        <f aca="false">IF(OR($L516="",$J516=""),"",$L516+$J516-1)</f>
        <v/>
      </c>
      <c r="N516" s="28" t="str">
        <f aca="false">IF($A516="","",IF(OR($L516="",$M516=""),"",IF($M516&gt;10,"⚠ Saat Taşıyor","")))</f>
        <v/>
      </c>
      <c r="O516" s="28" t="str">
        <f aca="false">IF($A516="","",IF(OR($G516="",$H516="",$L516=""),"",IF(SUMPRODUCT(($A$7:$A$606&lt;&gt;"")*($G$7:$G$606=$G516)*($H$7:$H$606=$H516)*(ROW($A$7:$A$606)&lt;&gt;516)*($L$7:$L$606&lt;=$M516)*($M$7:$M$606&gt;=$L516))&gt;0,"⚠ Çakışma","OK")))</f>
        <v/>
      </c>
      <c r="P516" s="28" t="str">
        <f aca="false">IF($A516="","",IF(OR($K516="",$H516="",$L516=""),"",IF(SUMPRODUCT(($A$7:$A$606&lt;&gt;"")*($K$7:$K$606=$K516)*($H$7:$H$606=$H516)*(ROW($A$7:$A$606)&lt;&gt;516)*($L$7:$L$606&lt;=$M516)*($M$7:$M$606&gt;=$L516))&gt;0,"⚠ Çakışma","OK")))</f>
        <v/>
      </c>
      <c r="Q516" s="28" t="str">
        <f aca="false">IF($A516="","",IF(OR($E516="",$H516="",$L516=""),"",IF(SUMPRODUCT(($A$7:$A$606&lt;&gt;"")*($E$7:$E$606=$E516)*($H$7:$H$606=$H516)*(ROW($A$7:$A$606)&lt;&gt;516)*($L$7:$L$606&lt;=$M516)*($M$7:$M$606&gt;=$L516))&gt;0,"⚠ Çakışma","OK")))</f>
        <v/>
      </c>
      <c r="R516" s="28" t="str">
        <f aca="false">IF($A516="","",IF(OR($N516&lt;&gt;"",$O516="⚠ Çakışma",$P516="⚠ Çakışma",$Q516="⚠ Çakışma"),"⚠ Kontrol Et","✓ Uygun"))</f>
        <v/>
      </c>
    </row>
    <row r="517" customFormat="false" ht="13.5" hidden="false" customHeight="true" outlineLevel="0" collapsed="false">
      <c r="A517" s="28" t="str">
        <f aca="false">IF('3-Turizm İşletmeciliği'!A114="","","Turizm İşletmeciliği")</f>
        <v/>
      </c>
      <c r="B517" s="28" t="str">
        <f aca="false">IF($A517="","",IF('3-Turizm İşletmeciliği'!A114="","",'3-Turizm İşletmeciliği'!A114))</f>
        <v/>
      </c>
      <c r="C517" s="29" t="str">
        <f aca="false">IF($A517="","",IF('3-Turizm İşletmeciliği'!B114="","",'3-Turizm İşletmeciliği'!B114))</f>
        <v/>
      </c>
      <c r="D517" s="28" t="str">
        <f aca="false">IF($A517="","",IF('3-Turizm İşletmeciliği'!C114="","",'3-Turizm İşletmeciliği'!C114))</f>
        <v/>
      </c>
      <c r="E517" s="28" t="str">
        <f aca="false">IF($A517="","",$A517&amp;"-"&amp;$D517)</f>
        <v/>
      </c>
      <c r="F517" s="28" t="str">
        <f aca="false">IF($A517="","",IF('3-Turizm İşletmeciliği'!D114="","",'3-Turizm İşletmeciliği'!D114))</f>
        <v/>
      </c>
      <c r="G517" s="28" t="str">
        <f aca="false">IF($A517="","",IF('3-Turizm İşletmeciliği'!E114="","",'3-Turizm İşletmeciliği'!E114))</f>
        <v/>
      </c>
      <c r="H517" s="28" t="str">
        <f aca="false">IF($A517="","",IF('3-Turizm İşletmeciliği'!F114="","",'3-Turizm İşletmeciliği'!F114))</f>
        <v/>
      </c>
      <c r="I517" s="28" t="str">
        <f aca="false">IF($A517="","",IF('3-Turizm İşletmeciliği'!G114="","",'3-Turizm İşletmeciliği'!G114))</f>
        <v/>
      </c>
      <c r="J517" s="28" t="str">
        <f aca="false">IF($A517="","",IF('3-Turizm İşletmeciliği'!H114="","",'3-Turizm İşletmeciliği'!H114))</f>
        <v/>
      </c>
      <c r="K517" s="28" t="str">
        <f aca="false">IF($A517="","",IF('3-Turizm İşletmeciliği'!I114="","",'3-Turizm İşletmeciliği'!I114))</f>
        <v/>
      </c>
      <c r="L517" s="28" t="str">
        <f aca="false">IF($I517="","",MATCH($I517,{"08.00";"09.00";"10.00";"11.00";"12.00";"13.00";"14.00";"15.00";"16.00";"17.00"},0))</f>
        <v/>
      </c>
      <c r="M517" s="28" t="str">
        <f aca="false">IF(OR($L517="",$J517=""),"",$L517+$J517-1)</f>
        <v/>
      </c>
      <c r="N517" s="28" t="str">
        <f aca="false">IF($A517="","",IF(OR($L517="",$M517=""),"",IF($M517&gt;10,"⚠ Saat Taşıyor","")))</f>
        <v/>
      </c>
      <c r="O517" s="28" t="str">
        <f aca="false">IF($A517="","",IF(OR($G517="",$H517="",$L517=""),"",IF(SUMPRODUCT(($A$7:$A$606&lt;&gt;"")*($G$7:$G$606=$G517)*($H$7:$H$606=$H517)*(ROW($A$7:$A$606)&lt;&gt;517)*($L$7:$L$606&lt;=$M517)*($M$7:$M$606&gt;=$L517))&gt;0,"⚠ Çakışma","OK")))</f>
        <v/>
      </c>
      <c r="P517" s="28" t="str">
        <f aca="false">IF($A517="","",IF(OR($K517="",$H517="",$L517=""),"",IF(SUMPRODUCT(($A$7:$A$606&lt;&gt;"")*($K$7:$K$606=$K517)*($H$7:$H$606=$H517)*(ROW($A$7:$A$606)&lt;&gt;517)*($L$7:$L$606&lt;=$M517)*($M$7:$M$606&gt;=$L517))&gt;0,"⚠ Çakışma","OK")))</f>
        <v/>
      </c>
      <c r="Q517" s="28" t="str">
        <f aca="false">IF($A517="","",IF(OR($E517="",$H517="",$L517=""),"",IF(SUMPRODUCT(($A$7:$A$606&lt;&gt;"")*($E$7:$E$606=$E517)*($H$7:$H$606=$H517)*(ROW($A$7:$A$606)&lt;&gt;517)*($L$7:$L$606&lt;=$M517)*($M$7:$M$606&gt;=$L517))&gt;0,"⚠ Çakışma","OK")))</f>
        <v/>
      </c>
      <c r="R517" s="28" t="str">
        <f aca="false">IF($A517="","",IF(OR($N517&lt;&gt;"",$O517="⚠ Çakışma",$P517="⚠ Çakışma",$Q517="⚠ Çakışma"),"⚠ Kontrol Et","✓ Uygun"))</f>
        <v/>
      </c>
    </row>
    <row r="518" customFormat="false" ht="13.5" hidden="false" customHeight="true" outlineLevel="0" collapsed="false">
      <c r="A518" s="28" t="str">
        <f aca="false">IF('3-Turizm İşletmeciliği'!A115="","","Turizm İşletmeciliği")</f>
        <v/>
      </c>
      <c r="B518" s="28" t="str">
        <f aca="false">IF($A518="","",IF('3-Turizm İşletmeciliği'!A115="","",'3-Turizm İşletmeciliği'!A115))</f>
        <v/>
      </c>
      <c r="C518" s="29" t="str">
        <f aca="false">IF($A518="","",IF('3-Turizm İşletmeciliği'!B115="","",'3-Turizm İşletmeciliği'!B115))</f>
        <v/>
      </c>
      <c r="D518" s="28" t="str">
        <f aca="false">IF($A518="","",IF('3-Turizm İşletmeciliği'!C115="","",'3-Turizm İşletmeciliği'!C115))</f>
        <v/>
      </c>
      <c r="E518" s="28" t="str">
        <f aca="false">IF($A518="","",$A518&amp;"-"&amp;$D518)</f>
        <v/>
      </c>
      <c r="F518" s="28" t="str">
        <f aca="false">IF($A518="","",IF('3-Turizm İşletmeciliği'!D115="","",'3-Turizm İşletmeciliği'!D115))</f>
        <v/>
      </c>
      <c r="G518" s="28" t="str">
        <f aca="false">IF($A518="","",IF('3-Turizm İşletmeciliği'!E115="","",'3-Turizm İşletmeciliği'!E115))</f>
        <v/>
      </c>
      <c r="H518" s="28" t="str">
        <f aca="false">IF($A518="","",IF('3-Turizm İşletmeciliği'!F115="","",'3-Turizm İşletmeciliği'!F115))</f>
        <v/>
      </c>
      <c r="I518" s="28" t="str">
        <f aca="false">IF($A518="","",IF('3-Turizm İşletmeciliği'!G115="","",'3-Turizm İşletmeciliği'!G115))</f>
        <v/>
      </c>
      <c r="J518" s="28" t="str">
        <f aca="false">IF($A518="","",IF('3-Turizm İşletmeciliği'!H115="","",'3-Turizm İşletmeciliği'!H115))</f>
        <v/>
      </c>
      <c r="K518" s="28" t="str">
        <f aca="false">IF($A518="","",IF('3-Turizm İşletmeciliği'!I115="","",'3-Turizm İşletmeciliği'!I115))</f>
        <v/>
      </c>
      <c r="L518" s="28" t="str">
        <f aca="false">IF($I518="","",MATCH($I518,{"08.00";"09.00";"10.00";"11.00";"12.00";"13.00";"14.00";"15.00";"16.00";"17.00"},0))</f>
        <v/>
      </c>
      <c r="M518" s="28" t="str">
        <f aca="false">IF(OR($L518="",$J518=""),"",$L518+$J518-1)</f>
        <v/>
      </c>
      <c r="N518" s="28" t="str">
        <f aca="false">IF($A518="","",IF(OR($L518="",$M518=""),"",IF($M518&gt;10,"⚠ Saat Taşıyor","")))</f>
        <v/>
      </c>
      <c r="O518" s="28" t="str">
        <f aca="false">IF($A518="","",IF(OR($G518="",$H518="",$L518=""),"",IF(SUMPRODUCT(($A$7:$A$606&lt;&gt;"")*($G$7:$G$606=$G518)*($H$7:$H$606=$H518)*(ROW($A$7:$A$606)&lt;&gt;518)*($L$7:$L$606&lt;=$M518)*($M$7:$M$606&gt;=$L518))&gt;0,"⚠ Çakışma","OK")))</f>
        <v/>
      </c>
      <c r="P518" s="28" t="str">
        <f aca="false">IF($A518="","",IF(OR($K518="",$H518="",$L518=""),"",IF(SUMPRODUCT(($A$7:$A$606&lt;&gt;"")*($K$7:$K$606=$K518)*($H$7:$H$606=$H518)*(ROW($A$7:$A$606)&lt;&gt;518)*($L$7:$L$606&lt;=$M518)*($M$7:$M$606&gt;=$L518))&gt;0,"⚠ Çakışma","OK")))</f>
        <v/>
      </c>
      <c r="Q518" s="28" t="str">
        <f aca="false">IF($A518="","",IF(OR($E518="",$H518="",$L518=""),"",IF(SUMPRODUCT(($A$7:$A$606&lt;&gt;"")*($E$7:$E$606=$E518)*($H$7:$H$606=$H518)*(ROW($A$7:$A$606)&lt;&gt;518)*($L$7:$L$606&lt;=$M518)*($M$7:$M$606&gt;=$L518))&gt;0,"⚠ Çakışma","OK")))</f>
        <v/>
      </c>
      <c r="R518" s="28" t="str">
        <f aca="false">IF($A518="","",IF(OR($N518&lt;&gt;"",$O518="⚠ Çakışma",$P518="⚠ Çakışma",$Q518="⚠ Çakışma"),"⚠ Kontrol Et","✓ Uygun"))</f>
        <v/>
      </c>
    </row>
    <row r="519" customFormat="false" ht="13.5" hidden="false" customHeight="true" outlineLevel="0" collapsed="false">
      <c r="A519" s="28" t="str">
        <f aca="false">IF('3-Turizm İşletmeciliği'!A116="","","Turizm İşletmeciliği")</f>
        <v/>
      </c>
      <c r="B519" s="28" t="str">
        <f aca="false">IF($A519="","",IF('3-Turizm İşletmeciliği'!A116="","",'3-Turizm İşletmeciliği'!A116))</f>
        <v/>
      </c>
      <c r="C519" s="29" t="str">
        <f aca="false">IF($A519="","",IF('3-Turizm İşletmeciliği'!B116="","",'3-Turizm İşletmeciliği'!B116))</f>
        <v/>
      </c>
      <c r="D519" s="28" t="str">
        <f aca="false">IF($A519="","",IF('3-Turizm İşletmeciliği'!C116="","",'3-Turizm İşletmeciliği'!C116))</f>
        <v/>
      </c>
      <c r="E519" s="28" t="str">
        <f aca="false">IF($A519="","",$A519&amp;"-"&amp;$D519)</f>
        <v/>
      </c>
      <c r="F519" s="28" t="str">
        <f aca="false">IF($A519="","",IF('3-Turizm İşletmeciliği'!D116="","",'3-Turizm İşletmeciliği'!D116))</f>
        <v/>
      </c>
      <c r="G519" s="28" t="str">
        <f aca="false">IF($A519="","",IF('3-Turizm İşletmeciliği'!E116="","",'3-Turizm İşletmeciliği'!E116))</f>
        <v/>
      </c>
      <c r="H519" s="28" t="str">
        <f aca="false">IF($A519="","",IF('3-Turizm İşletmeciliği'!F116="","",'3-Turizm İşletmeciliği'!F116))</f>
        <v/>
      </c>
      <c r="I519" s="28" t="str">
        <f aca="false">IF($A519="","",IF('3-Turizm İşletmeciliği'!G116="","",'3-Turizm İşletmeciliği'!G116))</f>
        <v/>
      </c>
      <c r="J519" s="28" t="str">
        <f aca="false">IF($A519="","",IF('3-Turizm İşletmeciliği'!H116="","",'3-Turizm İşletmeciliği'!H116))</f>
        <v/>
      </c>
      <c r="K519" s="28" t="str">
        <f aca="false">IF($A519="","",IF('3-Turizm İşletmeciliği'!I116="","",'3-Turizm İşletmeciliği'!I116))</f>
        <v/>
      </c>
      <c r="L519" s="28" t="str">
        <f aca="false">IF($I519="","",MATCH($I519,{"08.00";"09.00";"10.00";"11.00";"12.00";"13.00";"14.00";"15.00";"16.00";"17.00"},0))</f>
        <v/>
      </c>
      <c r="M519" s="28" t="str">
        <f aca="false">IF(OR($L519="",$J519=""),"",$L519+$J519-1)</f>
        <v/>
      </c>
      <c r="N519" s="28" t="str">
        <f aca="false">IF($A519="","",IF(OR($L519="",$M519=""),"",IF($M519&gt;10,"⚠ Saat Taşıyor","")))</f>
        <v/>
      </c>
      <c r="O519" s="28" t="str">
        <f aca="false">IF($A519="","",IF(OR($G519="",$H519="",$L519=""),"",IF(SUMPRODUCT(($A$7:$A$606&lt;&gt;"")*($G$7:$G$606=$G519)*($H$7:$H$606=$H519)*(ROW($A$7:$A$606)&lt;&gt;519)*($L$7:$L$606&lt;=$M519)*($M$7:$M$606&gt;=$L519))&gt;0,"⚠ Çakışma","OK")))</f>
        <v/>
      </c>
      <c r="P519" s="28" t="str">
        <f aca="false">IF($A519="","",IF(OR($K519="",$H519="",$L519=""),"",IF(SUMPRODUCT(($A$7:$A$606&lt;&gt;"")*($K$7:$K$606=$K519)*($H$7:$H$606=$H519)*(ROW($A$7:$A$606)&lt;&gt;519)*($L$7:$L$606&lt;=$M519)*($M$7:$M$606&gt;=$L519))&gt;0,"⚠ Çakışma","OK")))</f>
        <v/>
      </c>
      <c r="Q519" s="28" t="str">
        <f aca="false">IF($A519="","",IF(OR($E519="",$H519="",$L519=""),"",IF(SUMPRODUCT(($A$7:$A$606&lt;&gt;"")*($E$7:$E$606=$E519)*($H$7:$H$606=$H519)*(ROW($A$7:$A$606)&lt;&gt;519)*($L$7:$L$606&lt;=$M519)*($M$7:$M$606&gt;=$L519))&gt;0,"⚠ Çakışma","OK")))</f>
        <v/>
      </c>
      <c r="R519" s="28" t="str">
        <f aca="false">IF($A519="","",IF(OR($N519&lt;&gt;"",$O519="⚠ Çakışma",$P519="⚠ Çakışma",$Q519="⚠ Çakışma"),"⚠ Kontrol Et","✓ Uygun"))</f>
        <v/>
      </c>
    </row>
    <row r="520" customFormat="false" ht="13.5" hidden="false" customHeight="true" outlineLevel="0" collapsed="false">
      <c r="A520" s="28" t="str">
        <f aca="false">IF('3-Turizm İşletmeciliği'!A117="","","Turizm İşletmeciliği")</f>
        <v/>
      </c>
      <c r="B520" s="28" t="str">
        <f aca="false">IF($A520="","",IF('3-Turizm İşletmeciliği'!A117="","",'3-Turizm İşletmeciliği'!A117))</f>
        <v/>
      </c>
      <c r="C520" s="29" t="str">
        <f aca="false">IF($A520="","",IF('3-Turizm İşletmeciliği'!B117="","",'3-Turizm İşletmeciliği'!B117))</f>
        <v/>
      </c>
      <c r="D520" s="28" t="str">
        <f aca="false">IF($A520="","",IF('3-Turizm İşletmeciliği'!C117="","",'3-Turizm İşletmeciliği'!C117))</f>
        <v/>
      </c>
      <c r="E520" s="28" t="str">
        <f aca="false">IF($A520="","",$A520&amp;"-"&amp;$D520)</f>
        <v/>
      </c>
      <c r="F520" s="28" t="str">
        <f aca="false">IF($A520="","",IF('3-Turizm İşletmeciliği'!D117="","",'3-Turizm İşletmeciliği'!D117))</f>
        <v/>
      </c>
      <c r="G520" s="28" t="str">
        <f aca="false">IF($A520="","",IF('3-Turizm İşletmeciliği'!E117="","",'3-Turizm İşletmeciliği'!E117))</f>
        <v/>
      </c>
      <c r="H520" s="28" t="str">
        <f aca="false">IF($A520="","",IF('3-Turizm İşletmeciliği'!F117="","",'3-Turizm İşletmeciliği'!F117))</f>
        <v/>
      </c>
      <c r="I520" s="28" t="str">
        <f aca="false">IF($A520="","",IF('3-Turizm İşletmeciliği'!G117="","",'3-Turizm İşletmeciliği'!G117))</f>
        <v/>
      </c>
      <c r="J520" s="28" t="str">
        <f aca="false">IF($A520="","",IF('3-Turizm İşletmeciliği'!H117="","",'3-Turizm İşletmeciliği'!H117))</f>
        <v/>
      </c>
      <c r="K520" s="28" t="str">
        <f aca="false">IF($A520="","",IF('3-Turizm İşletmeciliği'!I117="","",'3-Turizm İşletmeciliği'!I117))</f>
        <v/>
      </c>
      <c r="L520" s="28" t="str">
        <f aca="false">IF($I520="","",MATCH($I520,{"08.00";"09.00";"10.00";"11.00";"12.00";"13.00";"14.00";"15.00";"16.00";"17.00"},0))</f>
        <v/>
      </c>
      <c r="M520" s="28" t="str">
        <f aca="false">IF(OR($L520="",$J520=""),"",$L520+$J520-1)</f>
        <v/>
      </c>
      <c r="N520" s="28" t="str">
        <f aca="false">IF($A520="","",IF(OR($L520="",$M520=""),"",IF($M520&gt;10,"⚠ Saat Taşıyor","")))</f>
        <v/>
      </c>
      <c r="O520" s="28" t="str">
        <f aca="false">IF($A520="","",IF(OR($G520="",$H520="",$L520=""),"",IF(SUMPRODUCT(($A$7:$A$606&lt;&gt;"")*($G$7:$G$606=$G520)*($H$7:$H$606=$H520)*(ROW($A$7:$A$606)&lt;&gt;520)*($L$7:$L$606&lt;=$M520)*($M$7:$M$606&gt;=$L520))&gt;0,"⚠ Çakışma","OK")))</f>
        <v/>
      </c>
      <c r="P520" s="28" t="str">
        <f aca="false">IF($A520="","",IF(OR($K520="",$H520="",$L520=""),"",IF(SUMPRODUCT(($A$7:$A$606&lt;&gt;"")*($K$7:$K$606=$K520)*($H$7:$H$606=$H520)*(ROW($A$7:$A$606)&lt;&gt;520)*($L$7:$L$606&lt;=$M520)*($M$7:$M$606&gt;=$L520))&gt;0,"⚠ Çakışma","OK")))</f>
        <v/>
      </c>
      <c r="Q520" s="28" t="str">
        <f aca="false">IF($A520="","",IF(OR($E520="",$H520="",$L520=""),"",IF(SUMPRODUCT(($A$7:$A$606&lt;&gt;"")*($E$7:$E$606=$E520)*($H$7:$H$606=$H520)*(ROW($A$7:$A$606)&lt;&gt;520)*($L$7:$L$606&lt;=$M520)*($M$7:$M$606&gt;=$L520))&gt;0,"⚠ Çakışma","OK")))</f>
        <v/>
      </c>
      <c r="R520" s="28" t="str">
        <f aca="false">IF($A520="","",IF(OR($N520&lt;&gt;"",$O520="⚠ Çakışma",$P520="⚠ Çakışma",$Q520="⚠ Çakışma"),"⚠ Kontrol Et","✓ Uygun"))</f>
        <v/>
      </c>
    </row>
    <row r="521" customFormat="false" ht="13.5" hidden="false" customHeight="true" outlineLevel="0" collapsed="false">
      <c r="A521" s="28" t="str">
        <f aca="false">IF('3-Turizm İşletmeciliği'!A118="","","Turizm İşletmeciliği")</f>
        <v/>
      </c>
      <c r="B521" s="28" t="str">
        <f aca="false">IF($A521="","",IF('3-Turizm İşletmeciliği'!A118="","",'3-Turizm İşletmeciliği'!A118))</f>
        <v/>
      </c>
      <c r="C521" s="29" t="str">
        <f aca="false">IF($A521="","",IF('3-Turizm İşletmeciliği'!B118="","",'3-Turizm İşletmeciliği'!B118))</f>
        <v/>
      </c>
      <c r="D521" s="28" t="str">
        <f aca="false">IF($A521="","",IF('3-Turizm İşletmeciliği'!C118="","",'3-Turizm İşletmeciliği'!C118))</f>
        <v/>
      </c>
      <c r="E521" s="28" t="str">
        <f aca="false">IF($A521="","",$A521&amp;"-"&amp;$D521)</f>
        <v/>
      </c>
      <c r="F521" s="28" t="str">
        <f aca="false">IF($A521="","",IF('3-Turizm İşletmeciliği'!D118="","",'3-Turizm İşletmeciliği'!D118))</f>
        <v/>
      </c>
      <c r="G521" s="28" t="str">
        <f aca="false">IF($A521="","",IF('3-Turizm İşletmeciliği'!E118="","",'3-Turizm İşletmeciliği'!E118))</f>
        <v/>
      </c>
      <c r="H521" s="28" t="str">
        <f aca="false">IF($A521="","",IF('3-Turizm İşletmeciliği'!F118="","",'3-Turizm İşletmeciliği'!F118))</f>
        <v/>
      </c>
      <c r="I521" s="28" t="str">
        <f aca="false">IF($A521="","",IF('3-Turizm İşletmeciliği'!G118="","",'3-Turizm İşletmeciliği'!G118))</f>
        <v/>
      </c>
      <c r="J521" s="28" t="str">
        <f aca="false">IF($A521="","",IF('3-Turizm İşletmeciliği'!H118="","",'3-Turizm İşletmeciliği'!H118))</f>
        <v/>
      </c>
      <c r="K521" s="28" t="str">
        <f aca="false">IF($A521="","",IF('3-Turizm İşletmeciliği'!I118="","",'3-Turizm İşletmeciliği'!I118))</f>
        <v/>
      </c>
      <c r="L521" s="28" t="str">
        <f aca="false">IF($I521="","",MATCH($I521,{"08.00";"09.00";"10.00";"11.00";"12.00";"13.00";"14.00";"15.00";"16.00";"17.00"},0))</f>
        <v/>
      </c>
      <c r="M521" s="28" t="str">
        <f aca="false">IF(OR($L521="",$J521=""),"",$L521+$J521-1)</f>
        <v/>
      </c>
      <c r="N521" s="28" t="str">
        <f aca="false">IF($A521="","",IF(OR($L521="",$M521=""),"",IF($M521&gt;10,"⚠ Saat Taşıyor","")))</f>
        <v/>
      </c>
      <c r="O521" s="28" t="str">
        <f aca="false">IF($A521="","",IF(OR($G521="",$H521="",$L521=""),"",IF(SUMPRODUCT(($A$7:$A$606&lt;&gt;"")*($G$7:$G$606=$G521)*($H$7:$H$606=$H521)*(ROW($A$7:$A$606)&lt;&gt;521)*($L$7:$L$606&lt;=$M521)*($M$7:$M$606&gt;=$L521))&gt;0,"⚠ Çakışma","OK")))</f>
        <v/>
      </c>
      <c r="P521" s="28" t="str">
        <f aca="false">IF($A521="","",IF(OR($K521="",$H521="",$L521=""),"",IF(SUMPRODUCT(($A$7:$A$606&lt;&gt;"")*($K$7:$K$606=$K521)*($H$7:$H$606=$H521)*(ROW($A$7:$A$606)&lt;&gt;521)*($L$7:$L$606&lt;=$M521)*($M$7:$M$606&gt;=$L521))&gt;0,"⚠ Çakışma","OK")))</f>
        <v/>
      </c>
      <c r="Q521" s="28" t="str">
        <f aca="false">IF($A521="","",IF(OR($E521="",$H521="",$L521=""),"",IF(SUMPRODUCT(($A$7:$A$606&lt;&gt;"")*($E$7:$E$606=$E521)*($H$7:$H$606=$H521)*(ROW($A$7:$A$606)&lt;&gt;521)*($L$7:$L$606&lt;=$M521)*($M$7:$M$606&gt;=$L521))&gt;0,"⚠ Çakışma","OK")))</f>
        <v/>
      </c>
      <c r="R521" s="28" t="str">
        <f aca="false">IF($A521="","",IF(OR($N521&lt;&gt;"",$O521="⚠ Çakışma",$P521="⚠ Çakışma",$Q521="⚠ Çakışma"),"⚠ Kontrol Et","✓ Uygun"))</f>
        <v/>
      </c>
    </row>
    <row r="522" customFormat="false" ht="13.5" hidden="false" customHeight="true" outlineLevel="0" collapsed="false">
      <c r="A522" s="28" t="str">
        <f aca="false">IF('3-Turizm İşletmeciliği'!A119="","","Turizm İşletmeciliği")</f>
        <v/>
      </c>
      <c r="B522" s="28" t="str">
        <f aca="false">IF($A522="","",IF('3-Turizm İşletmeciliği'!A119="","",'3-Turizm İşletmeciliği'!A119))</f>
        <v/>
      </c>
      <c r="C522" s="29" t="str">
        <f aca="false">IF($A522="","",IF('3-Turizm İşletmeciliği'!B119="","",'3-Turizm İşletmeciliği'!B119))</f>
        <v/>
      </c>
      <c r="D522" s="28" t="str">
        <f aca="false">IF($A522="","",IF('3-Turizm İşletmeciliği'!C119="","",'3-Turizm İşletmeciliği'!C119))</f>
        <v/>
      </c>
      <c r="E522" s="28" t="str">
        <f aca="false">IF($A522="","",$A522&amp;"-"&amp;$D522)</f>
        <v/>
      </c>
      <c r="F522" s="28" t="str">
        <f aca="false">IF($A522="","",IF('3-Turizm İşletmeciliği'!D119="","",'3-Turizm İşletmeciliği'!D119))</f>
        <v/>
      </c>
      <c r="G522" s="28" t="str">
        <f aca="false">IF($A522="","",IF('3-Turizm İşletmeciliği'!E119="","",'3-Turizm İşletmeciliği'!E119))</f>
        <v/>
      </c>
      <c r="H522" s="28" t="str">
        <f aca="false">IF($A522="","",IF('3-Turizm İşletmeciliği'!F119="","",'3-Turizm İşletmeciliği'!F119))</f>
        <v/>
      </c>
      <c r="I522" s="28" t="str">
        <f aca="false">IF($A522="","",IF('3-Turizm İşletmeciliği'!G119="","",'3-Turizm İşletmeciliği'!G119))</f>
        <v/>
      </c>
      <c r="J522" s="28" t="str">
        <f aca="false">IF($A522="","",IF('3-Turizm İşletmeciliği'!H119="","",'3-Turizm İşletmeciliği'!H119))</f>
        <v/>
      </c>
      <c r="K522" s="28" t="str">
        <f aca="false">IF($A522="","",IF('3-Turizm İşletmeciliği'!I119="","",'3-Turizm İşletmeciliği'!I119))</f>
        <v/>
      </c>
      <c r="L522" s="28" t="str">
        <f aca="false">IF($I522="","",MATCH($I522,{"08.00";"09.00";"10.00";"11.00";"12.00";"13.00";"14.00";"15.00";"16.00";"17.00"},0))</f>
        <v/>
      </c>
      <c r="M522" s="28" t="str">
        <f aca="false">IF(OR($L522="",$J522=""),"",$L522+$J522-1)</f>
        <v/>
      </c>
      <c r="N522" s="28" t="str">
        <f aca="false">IF($A522="","",IF(OR($L522="",$M522=""),"",IF($M522&gt;10,"⚠ Saat Taşıyor","")))</f>
        <v/>
      </c>
      <c r="O522" s="28" t="str">
        <f aca="false">IF($A522="","",IF(OR($G522="",$H522="",$L522=""),"",IF(SUMPRODUCT(($A$7:$A$606&lt;&gt;"")*($G$7:$G$606=$G522)*($H$7:$H$606=$H522)*(ROW($A$7:$A$606)&lt;&gt;522)*($L$7:$L$606&lt;=$M522)*($M$7:$M$606&gt;=$L522))&gt;0,"⚠ Çakışma","OK")))</f>
        <v/>
      </c>
      <c r="P522" s="28" t="str">
        <f aca="false">IF($A522="","",IF(OR($K522="",$H522="",$L522=""),"",IF(SUMPRODUCT(($A$7:$A$606&lt;&gt;"")*($K$7:$K$606=$K522)*($H$7:$H$606=$H522)*(ROW($A$7:$A$606)&lt;&gt;522)*($L$7:$L$606&lt;=$M522)*($M$7:$M$606&gt;=$L522))&gt;0,"⚠ Çakışma","OK")))</f>
        <v/>
      </c>
      <c r="Q522" s="28" t="str">
        <f aca="false">IF($A522="","",IF(OR($E522="",$H522="",$L522=""),"",IF(SUMPRODUCT(($A$7:$A$606&lt;&gt;"")*($E$7:$E$606=$E522)*($H$7:$H$606=$H522)*(ROW($A$7:$A$606)&lt;&gt;522)*($L$7:$L$606&lt;=$M522)*($M$7:$M$606&gt;=$L522))&gt;0,"⚠ Çakışma","OK")))</f>
        <v/>
      </c>
      <c r="R522" s="28" t="str">
        <f aca="false">IF($A522="","",IF(OR($N522&lt;&gt;"",$O522="⚠ Çakışma",$P522="⚠ Çakışma",$Q522="⚠ Çakışma"),"⚠ Kontrol Et","✓ Uygun"))</f>
        <v/>
      </c>
    </row>
    <row r="523" customFormat="false" ht="13.5" hidden="false" customHeight="true" outlineLevel="0" collapsed="false">
      <c r="A523" s="28" t="str">
        <f aca="false">IF('3-Turizm İşletmeciliği'!A120="","","Turizm İşletmeciliği")</f>
        <v/>
      </c>
      <c r="B523" s="28" t="str">
        <f aca="false">IF($A523="","",IF('3-Turizm İşletmeciliği'!A120="","",'3-Turizm İşletmeciliği'!A120))</f>
        <v/>
      </c>
      <c r="C523" s="29" t="str">
        <f aca="false">IF($A523="","",IF('3-Turizm İşletmeciliği'!B120="","",'3-Turizm İşletmeciliği'!B120))</f>
        <v/>
      </c>
      <c r="D523" s="28" t="str">
        <f aca="false">IF($A523="","",IF('3-Turizm İşletmeciliği'!C120="","",'3-Turizm İşletmeciliği'!C120))</f>
        <v/>
      </c>
      <c r="E523" s="28" t="str">
        <f aca="false">IF($A523="","",$A523&amp;"-"&amp;$D523)</f>
        <v/>
      </c>
      <c r="F523" s="28" t="str">
        <f aca="false">IF($A523="","",IF('3-Turizm İşletmeciliği'!D120="","",'3-Turizm İşletmeciliği'!D120))</f>
        <v/>
      </c>
      <c r="G523" s="28" t="str">
        <f aca="false">IF($A523="","",IF('3-Turizm İşletmeciliği'!E120="","",'3-Turizm İşletmeciliği'!E120))</f>
        <v/>
      </c>
      <c r="H523" s="28" t="str">
        <f aca="false">IF($A523="","",IF('3-Turizm İşletmeciliği'!F120="","",'3-Turizm İşletmeciliği'!F120))</f>
        <v/>
      </c>
      <c r="I523" s="28" t="str">
        <f aca="false">IF($A523="","",IF('3-Turizm İşletmeciliği'!G120="","",'3-Turizm İşletmeciliği'!G120))</f>
        <v/>
      </c>
      <c r="J523" s="28" t="str">
        <f aca="false">IF($A523="","",IF('3-Turizm İşletmeciliği'!H120="","",'3-Turizm İşletmeciliği'!H120))</f>
        <v/>
      </c>
      <c r="K523" s="28" t="str">
        <f aca="false">IF($A523="","",IF('3-Turizm İşletmeciliği'!I120="","",'3-Turizm İşletmeciliği'!I120))</f>
        <v/>
      </c>
      <c r="L523" s="28" t="str">
        <f aca="false">IF($I523="","",MATCH($I523,{"08.00";"09.00";"10.00";"11.00";"12.00";"13.00";"14.00";"15.00";"16.00";"17.00"},0))</f>
        <v/>
      </c>
      <c r="M523" s="28" t="str">
        <f aca="false">IF(OR($L523="",$J523=""),"",$L523+$J523-1)</f>
        <v/>
      </c>
      <c r="N523" s="28" t="str">
        <f aca="false">IF($A523="","",IF(OR($L523="",$M523=""),"",IF($M523&gt;10,"⚠ Saat Taşıyor","")))</f>
        <v/>
      </c>
      <c r="O523" s="28" t="str">
        <f aca="false">IF($A523="","",IF(OR($G523="",$H523="",$L523=""),"",IF(SUMPRODUCT(($A$7:$A$606&lt;&gt;"")*($G$7:$G$606=$G523)*($H$7:$H$606=$H523)*(ROW($A$7:$A$606)&lt;&gt;523)*($L$7:$L$606&lt;=$M523)*($M$7:$M$606&gt;=$L523))&gt;0,"⚠ Çakışma","OK")))</f>
        <v/>
      </c>
      <c r="P523" s="28" t="str">
        <f aca="false">IF($A523="","",IF(OR($K523="",$H523="",$L523=""),"",IF(SUMPRODUCT(($A$7:$A$606&lt;&gt;"")*($K$7:$K$606=$K523)*($H$7:$H$606=$H523)*(ROW($A$7:$A$606)&lt;&gt;523)*($L$7:$L$606&lt;=$M523)*($M$7:$M$606&gt;=$L523))&gt;0,"⚠ Çakışma","OK")))</f>
        <v/>
      </c>
      <c r="Q523" s="28" t="str">
        <f aca="false">IF($A523="","",IF(OR($E523="",$H523="",$L523=""),"",IF(SUMPRODUCT(($A$7:$A$606&lt;&gt;"")*($E$7:$E$606=$E523)*($H$7:$H$606=$H523)*(ROW($A$7:$A$606)&lt;&gt;523)*($L$7:$L$606&lt;=$M523)*($M$7:$M$606&gt;=$L523))&gt;0,"⚠ Çakışma","OK")))</f>
        <v/>
      </c>
      <c r="R523" s="28" t="str">
        <f aca="false">IF($A523="","",IF(OR($N523&lt;&gt;"",$O523="⚠ Çakışma",$P523="⚠ Çakışma",$Q523="⚠ Çakışma"),"⚠ Kontrol Et","✓ Uygun"))</f>
        <v/>
      </c>
    </row>
    <row r="524" customFormat="false" ht="13.5" hidden="false" customHeight="true" outlineLevel="0" collapsed="false">
      <c r="A524" s="28" t="str">
        <f aca="false">IF('3-Turizm İşletmeciliği'!A121="","","Turizm İşletmeciliği")</f>
        <v/>
      </c>
      <c r="B524" s="28" t="str">
        <f aca="false">IF($A524="","",IF('3-Turizm İşletmeciliği'!A121="","",'3-Turizm İşletmeciliği'!A121))</f>
        <v/>
      </c>
      <c r="C524" s="29" t="str">
        <f aca="false">IF($A524="","",IF('3-Turizm İşletmeciliği'!B121="","",'3-Turizm İşletmeciliği'!B121))</f>
        <v/>
      </c>
      <c r="D524" s="28" t="str">
        <f aca="false">IF($A524="","",IF('3-Turizm İşletmeciliği'!C121="","",'3-Turizm İşletmeciliği'!C121))</f>
        <v/>
      </c>
      <c r="E524" s="28" t="str">
        <f aca="false">IF($A524="","",$A524&amp;"-"&amp;$D524)</f>
        <v/>
      </c>
      <c r="F524" s="28" t="str">
        <f aca="false">IF($A524="","",IF('3-Turizm İşletmeciliği'!D121="","",'3-Turizm İşletmeciliği'!D121))</f>
        <v/>
      </c>
      <c r="G524" s="28" t="str">
        <f aca="false">IF($A524="","",IF('3-Turizm İşletmeciliği'!E121="","",'3-Turizm İşletmeciliği'!E121))</f>
        <v/>
      </c>
      <c r="H524" s="28" t="str">
        <f aca="false">IF($A524="","",IF('3-Turizm İşletmeciliği'!F121="","",'3-Turizm İşletmeciliği'!F121))</f>
        <v/>
      </c>
      <c r="I524" s="28" t="str">
        <f aca="false">IF($A524="","",IF('3-Turizm İşletmeciliği'!G121="","",'3-Turizm İşletmeciliği'!G121))</f>
        <v/>
      </c>
      <c r="J524" s="28" t="str">
        <f aca="false">IF($A524="","",IF('3-Turizm İşletmeciliği'!H121="","",'3-Turizm İşletmeciliği'!H121))</f>
        <v/>
      </c>
      <c r="K524" s="28" t="str">
        <f aca="false">IF($A524="","",IF('3-Turizm İşletmeciliği'!I121="","",'3-Turizm İşletmeciliği'!I121))</f>
        <v/>
      </c>
      <c r="L524" s="28" t="str">
        <f aca="false">IF($I524="","",MATCH($I524,{"08.00";"09.00";"10.00";"11.00";"12.00";"13.00";"14.00";"15.00";"16.00";"17.00"},0))</f>
        <v/>
      </c>
      <c r="M524" s="28" t="str">
        <f aca="false">IF(OR($L524="",$J524=""),"",$L524+$J524-1)</f>
        <v/>
      </c>
      <c r="N524" s="28" t="str">
        <f aca="false">IF($A524="","",IF(OR($L524="",$M524=""),"",IF($M524&gt;10,"⚠ Saat Taşıyor","")))</f>
        <v/>
      </c>
      <c r="O524" s="28" t="str">
        <f aca="false">IF($A524="","",IF(OR($G524="",$H524="",$L524=""),"",IF(SUMPRODUCT(($A$7:$A$606&lt;&gt;"")*($G$7:$G$606=$G524)*($H$7:$H$606=$H524)*(ROW($A$7:$A$606)&lt;&gt;524)*($L$7:$L$606&lt;=$M524)*($M$7:$M$606&gt;=$L524))&gt;0,"⚠ Çakışma","OK")))</f>
        <v/>
      </c>
      <c r="P524" s="28" t="str">
        <f aca="false">IF($A524="","",IF(OR($K524="",$H524="",$L524=""),"",IF(SUMPRODUCT(($A$7:$A$606&lt;&gt;"")*($K$7:$K$606=$K524)*($H$7:$H$606=$H524)*(ROW($A$7:$A$606)&lt;&gt;524)*($L$7:$L$606&lt;=$M524)*($M$7:$M$606&gt;=$L524))&gt;0,"⚠ Çakışma","OK")))</f>
        <v/>
      </c>
      <c r="Q524" s="28" t="str">
        <f aca="false">IF($A524="","",IF(OR($E524="",$H524="",$L524=""),"",IF(SUMPRODUCT(($A$7:$A$606&lt;&gt;"")*($E$7:$E$606=$E524)*($H$7:$H$606=$H524)*(ROW($A$7:$A$606)&lt;&gt;524)*($L$7:$L$606&lt;=$M524)*($M$7:$M$606&gt;=$L524))&gt;0,"⚠ Çakışma","OK")))</f>
        <v/>
      </c>
      <c r="R524" s="28" t="str">
        <f aca="false">IF($A524="","",IF(OR($N524&lt;&gt;"",$O524="⚠ Çakışma",$P524="⚠ Çakışma",$Q524="⚠ Çakışma"),"⚠ Kontrol Et","✓ Uygun"))</f>
        <v/>
      </c>
    </row>
    <row r="525" customFormat="false" ht="13.5" hidden="false" customHeight="true" outlineLevel="0" collapsed="false">
      <c r="A525" s="28" t="str">
        <f aca="false">IF('3-Turizm İşletmeciliği'!A122="","","Turizm İşletmeciliği")</f>
        <v/>
      </c>
      <c r="B525" s="28" t="str">
        <f aca="false">IF($A525="","",IF('3-Turizm İşletmeciliği'!A122="","",'3-Turizm İşletmeciliği'!A122))</f>
        <v/>
      </c>
      <c r="C525" s="29" t="str">
        <f aca="false">IF($A525="","",IF('3-Turizm İşletmeciliği'!B122="","",'3-Turizm İşletmeciliği'!B122))</f>
        <v/>
      </c>
      <c r="D525" s="28" t="str">
        <f aca="false">IF($A525="","",IF('3-Turizm İşletmeciliği'!C122="","",'3-Turizm İşletmeciliği'!C122))</f>
        <v/>
      </c>
      <c r="E525" s="28" t="str">
        <f aca="false">IF($A525="","",$A525&amp;"-"&amp;$D525)</f>
        <v/>
      </c>
      <c r="F525" s="28" t="str">
        <f aca="false">IF($A525="","",IF('3-Turizm İşletmeciliği'!D122="","",'3-Turizm İşletmeciliği'!D122))</f>
        <v/>
      </c>
      <c r="G525" s="28" t="str">
        <f aca="false">IF($A525="","",IF('3-Turizm İşletmeciliği'!E122="","",'3-Turizm İşletmeciliği'!E122))</f>
        <v/>
      </c>
      <c r="H525" s="28" t="str">
        <f aca="false">IF($A525="","",IF('3-Turizm İşletmeciliği'!F122="","",'3-Turizm İşletmeciliği'!F122))</f>
        <v/>
      </c>
      <c r="I525" s="28" t="str">
        <f aca="false">IF($A525="","",IF('3-Turizm İşletmeciliği'!G122="","",'3-Turizm İşletmeciliği'!G122))</f>
        <v/>
      </c>
      <c r="J525" s="28" t="str">
        <f aca="false">IF($A525="","",IF('3-Turizm İşletmeciliği'!H122="","",'3-Turizm İşletmeciliği'!H122))</f>
        <v/>
      </c>
      <c r="K525" s="28" t="str">
        <f aca="false">IF($A525="","",IF('3-Turizm İşletmeciliği'!I122="","",'3-Turizm İşletmeciliği'!I122))</f>
        <v/>
      </c>
      <c r="L525" s="28" t="str">
        <f aca="false">IF($I525="","",MATCH($I525,{"08.00";"09.00";"10.00";"11.00";"12.00";"13.00";"14.00";"15.00";"16.00";"17.00"},0))</f>
        <v/>
      </c>
      <c r="M525" s="28" t="str">
        <f aca="false">IF(OR($L525="",$J525=""),"",$L525+$J525-1)</f>
        <v/>
      </c>
      <c r="N525" s="28" t="str">
        <f aca="false">IF($A525="","",IF(OR($L525="",$M525=""),"",IF($M525&gt;10,"⚠ Saat Taşıyor","")))</f>
        <v/>
      </c>
      <c r="O525" s="28" t="str">
        <f aca="false">IF($A525="","",IF(OR($G525="",$H525="",$L525=""),"",IF(SUMPRODUCT(($A$7:$A$606&lt;&gt;"")*($G$7:$G$606=$G525)*($H$7:$H$606=$H525)*(ROW($A$7:$A$606)&lt;&gt;525)*($L$7:$L$606&lt;=$M525)*($M$7:$M$606&gt;=$L525))&gt;0,"⚠ Çakışma","OK")))</f>
        <v/>
      </c>
      <c r="P525" s="28" t="str">
        <f aca="false">IF($A525="","",IF(OR($K525="",$H525="",$L525=""),"",IF(SUMPRODUCT(($A$7:$A$606&lt;&gt;"")*($K$7:$K$606=$K525)*($H$7:$H$606=$H525)*(ROW($A$7:$A$606)&lt;&gt;525)*($L$7:$L$606&lt;=$M525)*($M$7:$M$606&gt;=$L525))&gt;0,"⚠ Çakışma","OK")))</f>
        <v/>
      </c>
      <c r="Q525" s="28" t="str">
        <f aca="false">IF($A525="","",IF(OR($E525="",$H525="",$L525=""),"",IF(SUMPRODUCT(($A$7:$A$606&lt;&gt;"")*($E$7:$E$606=$E525)*($H$7:$H$606=$H525)*(ROW($A$7:$A$606)&lt;&gt;525)*($L$7:$L$606&lt;=$M525)*($M$7:$M$606&gt;=$L525))&gt;0,"⚠ Çakışma","OK")))</f>
        <v/>
      </c>
      <c r="R525" s="28" t="str">
        <f aca="false">IF($A525="","",IF(OR($N525&lt;&gt;"",$O525="⚠ Çakışma",$P525="⚠ Çakışma",$Q525="⚠ Çakışma"),"⚠ Kontrol Et","✓ Uygun"))</f>
        <v/>
      </c>
    </row>
    <row r="526" customFormat="false" ht="13.5" hidden="false" customHeight="true" outlineLevel="0" collapsed="false">
      <c r="A526" s="28" t="str">
        <f aca="false">IF('3-Turizm İşletmeciliği'!A123="","","Turizm İşletmeciliği")</f>
        <v/>
      </c>
      <c r="B526" s="28" t="str">
        <f aca="false">IF($A526="","",IF('3-Turizm İşletmeciliği'!A123="","",'3-Turizm İşletmeciliği'!A123))</f>
        <v/>
      </c>
      <c r="C526" s="29" t="str">
        <f aca="false">IF($A526="","",IF('3-Turizm İşletmeciliği'!B123="","",'3-Turizm İşletmeciliği'!B123))</f>
        <v/>
      </c>
      <c r="D526" s="28" t="str">
        <f aca="false">IF($A526="","",IF('3-Turizm İşletmeciliği'!C123="","",'3-Turizm İşletmeciliği'!C123))</f>
        <v/>
      </c>
      <c r="E526" s="28" t="str">
        <f aca="false">IF($A526="","",$A526&amp;"-"&amp;$D526)</f>
        <v/>
      </c>
      <c r="F526" s="28" t="str">
        <f aca="false">IF($A526="","",IF('3-Turizm İşletmeciliği'!D123="","",'3-Turizm İşletmeciliği'!D123))</f>
        <v/>
      </c>
      <c r="G526" s="28" t="str">
        <f aca="false">IF($A526="","",IF('3-Turizm İşletmeciliği'!E123="","",'3-Turizm İşletmeciliği'!E123))</f>
        <v/>
      </c>
      <c r="H526" s="28" t="str">
        <f aca="false">IF($A526="","",IF('3-Turizm İşletmeciliği'!F123="","",'3-Turizm İşletmeciliği'!F123))</f>
        <v/>
      </c>
      <c r="I526" s="28" t="str">
        <f aca="false">IF($A526="","",IF('3-Turizm İşletmeciliği'!G123="","",'3-Turizm İşletmeciliği'!G123))</f>
        <v/>
      </c>
      <c r="J526" s="28" t="str">
        <f aca="false">IF($A526="","",IF('3-Turizm İşletmeciliği'!H123="","",'3-Turizm İşletmeciliği'!H123))</f>
        <v/>
      </c>
      <c r="K526" s="28" t="str">
        <f aca="false">IF($A526="","",IF('3-Turizm İşletmeciliği'!I123="","",'3-Turizm İşletmeciliği'!I123))</f>
        <v/>
      </c>
      <c r="L526" s="28" t="str">
        <f aca="false">IF($I526="","",MATCH($I526,{"08.00";"09.00";"10.00";"11.00";"12.00";"13.00";"14.00";"15.00";"16.00";"17.00"},0))</f>
        <v/>
      </c>
      <c r="M526" s="28" t="str">
        <f aca="false">IF(OR($L526="",$J526=""),"",$L526+$J526-1)</f>
        <v/>
      </c>
      <c r="N526" s="28" t="str">
        <f aca="false">IF($A526="","",IF(OR($L526="",$M526=""),"",IF($M526&gt;10,"⚠ Saat Taşıyor","")))</f>
        <v/>
      </c>
      <c r="O526" s="28" t="str">
        <f aca="false">IF($A526="","",IF(OR($G526="",$H526="",$L526=""),"",IF(SUMPRODUCT(($A$7:$A$606&lt;&gt;"")*($G$7:$G$606=$G526)*($H$7:$H$606=$H526)*(ROW($A$7:$A$606)&lt;&gt;526)*($L$7:$L$606&lt;=$M526)*($M$7:$M$606&gt;=$L526))&gt;0,"⚠ Çakışma","OK")))</f>
        <v/>
      </c>
      <c r="P526" s="28" t="str">
        <f aca="false">IF($A526="","",IF(OR($K526="",$H526="",$L526=""),"",IF(SUMPRODUCT(($A$7:$A$606&lt;&gt;"")*($K$7:$K$606=$K526)*($H$7:$H$606=$H526)*(ROW($A$7:$A$606)&lt;&gt;526)*($L$7:$L$606&lt;=$M526)*($M$7:$M$606&gt;=$L526))&gt;0,"⚠ Çakışma","OK")))</f>
        <v/>
      </c>
      <c r="Q526" s="28" t="str">
        <f aca="false">IF($A526="","",IF(OR($E526="",$H526="",$L526=""),"",IF(SUMPRODUCT(($A$7:$A$606&lt;&gt;"")*($E$7:$E$606=$E526)*($H$7:$H$606=$H526)*(ROW($A$7:$A$606)&lt;&gt;526)*($L$7:$L$606&lt;=$M526)*($M$7:$M$606&gt;=$L526))&gt;0,"⚠ Çakışma","OK")))</f>
        <v/>
      </c>
      <c r="R526" s="28" t="str">
        <f aca="false">IF($A526="","",IF(OR($N526&lt;&gt;"",$O526="⚠ Çakışma",$P526="⚠ Çakışma",$Q526="⚠ Çakışma"),"⚠ Kontrol Et","✓ Uygun"))</f>
        <v/>
      </c>
    </row>
    <row r="527" customFormat="false" ht="13.5" hidden="false" customHeight="true" outlineLevel="0" collapsed="false">
      <c r="A527" s="28" t="str">
        <f aca="false">IF('3-Turizm İşletmeciliği'!A124="","","Turizm İşletmeciliği")</f>
        <v/>
      </c>
      <c r="B527" s="28" t="str">
        <f aca="false">IF($A527="","",IF('3-Turizm İşletmeciliği'!A124="","",'3-Turizm İşletmeciliği'!A124))</f>
        <v/>
      </c>
      <c r="C527" s="29" t="str">
        <f aca="false">IF($A527="","",IF('3-Turizm İşletmeciliği'!B124="","",'3-Turizm İşletmeciliği'!B124))</f>
        <v/>
      </c>
      <c r="D527" s="28" t="str">
        <f aca="false">IF($A527="","",IF('3-Turizm İşletmeciliği'!C124="","",'3-Turizm İşletmeciliği'!C124))</f>
        <v/>
      </c>
      <c r="E527" s="28" t="str">
        <f aca="false">IF($A527="","",$A527&amp;"-"&amp;$D527)</f>
        <v/>
      </c>
      <c r="F527" s="28" t="str">
        <f aca="false">IF($A527="","",IF('3-Turizm İşletmeciliği'!D124="","",'3-Turizm İşletmeciliği'!D124))</f>
        <v/>
      </c>
      <c r="G527" s="28" t="str">
        <f aca="false">IF($A527="","",IF('3-Turizm İşletmeciliği'!E124="","",'3-Turizm İşletmeciliği'!E124))</f>
        <v/>
      </c>
      <c r="H527" s="28" t="str">
        <f aca="false">IF($A527="","",IF('3-Turizm İşletmeciliği'!F124="","",'3-Turizm İşletmeciliği'!F124))</f>
        <v/>
      </c>
      <c r="I527" s="28" t="str">
        <f aca="false">IF($A527="","",IF('3-Turizm İşletmeciliği'!G124="","",'3-Turizm İşletmeciliği'!G124))</f>
        <v/>
      </c>
      <c r="J527" s="28" t="str">
        <f aca="false">IF($A527="","",IF('3-Turizm İşletmeciliği'!H124="","",'3-Turizm İşletmeciliği'!H124))</f>
        <v/>
      </c>
      <c r="K527" s="28" t="str">
        <f aca="false">IF($A527="","",IF('3-Turizm İşletmeciliği'!I124="","",'3-Turizm İşletmeciliği'!I124))</f>
        <v/>
      </c>
      <c r="L527" s="28" t="str">
        <f aca="false">IF($I527="","",MATCH($I527,{"08.00";"09.00";"10.00";"11.00";"12.00";"13.00";"14.00";"15.00";"16.00";"17.00"},0))</f>
        <v/>
      </c>
      <c r="M527" s="28" t="str">
        <f aca="false">IF(OR($L527="",$J527=""),"",$L527+$J527-1)</f>
        <v/>
      </c>
      <c r="N527" s="28" t="str">
        <f aca="false">IF($A527="","",IF(OR($L527="",$M527=""),"",IF($M527&gt;10,"⚠ Saat Taşıyor","")))</f>
        <v/>
      </c>
      <c r="O527" s="28" t="str">
        <f aca="false">IF($A527="","",IF(OR($G527="",$H527="",$L527=""),"",IF(SUMPRODUCT(($A$7:$A$606&lt;&gt;"")*($G$7:$G$606=$G527)*($H$7:$H$606=$H527)*(ROW($A$7:$A$606)&lt;&gt;527)*($L$7:$L$606&lt;=$M527)*($M$7:$M$606&gt;=$L527))&gt;0,"⚠ Çakışma","OK")))</f>
        <v/>
      </c>
      <c r="P527" s="28" t="str">
        <f aca="false">IF($A527="","",IF(OR($K527="",$H527="",$L527=""),"",IF(SUMPRODUCT(($A$7:$A$606&lt;&gt;"")*($K$7:$K$606=$K527)*($H$7:$H$606=$H527)*(ROW($A$7:$A$606)&lt;&gt;527)*($L$7:$L$606&lt;=$M527)*($M$7:$M$606&gt;=$L527))&gt;0,"⚠ Çakışma","OK")))</f>
        <v/>
      </c>
      <c r="Q527" s="28" t="str">
        <f aca="false">IF($A527="","",IF(OR($E527="",$H527="",$L527=""),"",IF(SUMPRODUCT(($A$7:$A$606&lt;&gt;"")*($E$7:$E$606=$E527)*($H$7:$H$606=$H527)*(ROW($A$7:$A$606)&lt;&gt;527)*($L$7:$L$606&lt;=$M527)*($M$7:$M$606&gt;=$L527))&gt;0,"⚠ Çakışma","OK")))</f>
        <v/>
      </c>
      <c r="R527" s="28" t="str">
        <f aca="false">IF($A527="","",IF(OR($N527&lt;&gt;"",$O527="⚠ Çakışma",$P527="⚠ Çakışma",$Q527="⚠ Çakışma"),"⚠ Kontrol Et","✓ Uygun"))</f>
        <v/>
      </c>
    </row>
    <row r="528" customFormat="false" ht="13.5" hidden="false" customHeight="true" outlineLevel="0" collapsed="false">
      <c r="A528" s="28" t="str">
        <f aca="false">IF('3-Turizm İşletmeciliği'!A125="","","Turizm İşletmeciliği")</f>
        <v/>
      </c>
      <c r="B528" s="28" t="str">
        <f aca="false">IF($A528="","",IF('3-Turizm İşletmeciliği'!A125="","",'3-Turizm İşletmeciliği'!A125))</f>
        <v/>
      </c>
      <c r="C528" s="29" t="str">
        <f aca="false">IF($A528="","",IF('3-Turizm İşletmeciliği'!B125="","",'3-Turizm İşletmeciliği'!B125))</f>
        <v/>
      </c>
      <c r="D528" s="28" t="str">
        <f aca="false">IF($A528="","",IF('3-Turizm İşletmeciliği'!C125="","",'3-Turizm İşletmeciliği'!C125))</f>
        <v/>
      </c>
      <c r="E528" s="28" t="str">
        <f aca="false">IF($A528="","",$A528&amp;"-"&amp;$D528)</f>
        <v/>
      </c>
      <c r="F528" s="28" t="str">
        <f aca="false">IF($A528="","",IF('3-Turizm İşletmeciliği'!D125="","",'3-Turizm İşletmeciliği'!D125))</f>
        <v/>
      </c>
      <c r="G528" s="28" t="str">
        <f aca="false">IF($A528="","",IF('3-Turizm İşletmeciliği'!E125="","",'3-Turizm İşletmeciliği'!E125))</f>
        <v/>
      </c>
      <c r="H528" s="28" t="str">
        <f aca="false">IF($A528="","",IF('3-Turizm İşletmeciliği'!F125="","",'3-Turizm İşletmeciliği'!F125))</f>
        <v/>
      </c>
      <c r="I528" s="28" t="str">
        <f aca="false">IF($A528="","",IF('3-Turizm İşletmeciliği'!G125="","",'3-Turizm İşletmeciliği'!G125))</f>
        <v/>
      </c>
      <c r="J528" s="28" t="str">
        <f aca="false">IF($A528="","",IF('3-Turizm İşletmeciliği'!H125="","",'3-Turizm İşletmeciliği'!H125))</f>
        <v/>
      </c>
      <c r="K528" s="28" t="str">
        <f aca="false">IF($A528="","",IF('3-Turizm İşletmeciliği'!I125="","",'3-Turizm İşletmeciliği'!I125))</f>
        <v/>
      </c>
      <c r="L528" s="28" t="str">
        <f aca="false">IF($I528="","",MATCH($I528,{"08.00";"09.00";"10.00";"11.00";"12.00";"13.00";"14.00";"15.00";"16.00";"17.00"},0))</f>
        <v/>
      </c>
      <c r="M528" s="28" t="str">
        <f aca="false">IF(OR($L528="",$J528=""),"",$L528+$J528-1)</f>
        <v/>
      </c>
      <c r="N528" s="28" t="str">
        <f aca="false">IF($A528="","",IF(OR($L528="",$M528=""),"",IF($M528&gt;10,"⚠ Saat Taşıyor","")))</f>
        <v/>
      </c>
      <c r="O528" s="28" t="str">
        <f aca="false">IF($A528="","",IF(OR($G528="",$H528="",$L528=""),"",IF(SUMPRODUCT(($A$7:$A$606&lt;&gt;"")*($G$7:$G$606=$G528)*($H$7:$H$606=$H528)*(ROW($A$7:$A$606)&lt;&gt;528)*($L$7:$L$606&lt;=$M528)*($M$7:$M$606&gt;=$L528))&gt;0,"⚠ Çakışma","OK")))</f>
        <v/>
      </c>
      <c r="P528" s="28" t="str">
        <f aca="false">IF($A528="","",IF(OR($K528="",$H528="",$L528=""),"",IF(SUMPRODUCT(($A$7:$A$606&lt;&gt;"")*($K$7:$K$606=$K528)*($H$7:$H$606=$H528)*(ROW($A$7:$A$606)&lt;&gt;528)*($L$7:$L$606&lt;=$M528)*($M$7:$M$606&gt;=$L528))&gt;0,"⚠ Çakışma","OK")))</f>
        <v/>
      </c>
      <c r="Q528" s="28" t="str">
        <f aca="false">IF($A528="","",IF(OR($E528="",$H528="",$L528=""),"",IF(SUMPRODUCT(($A$7:$A$606&lt;&gt;"")*($E$7:$E$606=$E528)*($H$7:$H$606=$H528)*(ROW($A$7:$A$606)&lt;&gt;528)*($L$7:$L$606&lt;=$M528)*($M$7:$M$606&gt;=$L528))&gt;0,"⚠ Çakışma","OK")))</f>
        <v/>
      </c>
      <c r="R528" s="28" t="str">
        <f aca="false">IF($A528="","",IF(OR($N528&lt;&gt;"",$O528="⚠ Çakışma",$P528="⚠ Çakışma",$Q528="⚠ Çakışma"),"⚠ Kontrol Et","✓ Uygun"))</f>
        <v/>
      </c>
    </row>
    <row r="529" customFormat="false" ht="13.5" hidden="false" customHeight="true" outlineLevel="0" collapsed="false">
      <c r="A529" s="28" t="str">
        <f aca="false">IF('3-Turizm İşletmeciliği'!A126="","","Turizm İşletmeciliği")</f>
        <v/>
      </c>
      <c r="B529" s="28" t="str">
        <f aca="false">IF($A529="","",IF('3-Turizm İşletmeciliği'!A126="","",'3-Turizm İşletmeciliği'!A126))</f>
        <v/>
      </c>
      <c r="C529" s="29" t="str">
        <f aca="false">IF($A529="","",IF('3-Turizm İşletmeciliği'!B126="","",'3-Turizm İşletmeciliği'!B126))</f>
        <v/>
      </c>
      <c r="D529" s="28" t="str">
        <f aca="false">IF($A529="","",IF('3-Turizm İşletmeciliği'!C126="","",'3-Turizm İşletmeciliği'!C126))</f>
        <v/>
      </c>
      <c r="E529" s="28" t="str">
        <f aca="false">IF($A529="","",$A529&amp;"-"&amp;$D529)</f>
        <v/>
      </c>
      <c r="F529" s="28" t="str">
        <f aca="false">IF($A529="","",IF('3-Turizm İşletmeciliği'!D126="","",'3-Turizm İşletmeciliği'!D126))</f>
        <v/>
      </c>
      <c r="G529" s="28" t="str">
        <f aca="false">IF($A529="","",IF('3-Turizm İşletmeciliği'!E126="","",'3-Turizm İşletmeciliği'!E126))</f>
        <v/>
      </c>
      <c r="H529" s="28" t="str">
        <f aca="false">IF($A529="","",IF('3-Turizm İşletmeciliği'!F126="","",'3-Turizm İşletmeciliği'!F126))</f>
        <v/>
      </c>
      <c r="I529" s="28" t="str">
        <f aca="false">IF($A529="","",IF('3-Turizm İşletmeciliği'!G126="","",'3-Turizm İşletmeciliği'!G126))</f>
        <v/>
      </c>
      <c r="J529" s="28" t="str">
        <f aca="false">IF($A529="","",IF('3-Turizm İşletmeciliği'!H126="","",'3-Turizm İşletmeciliği'!H126))</f>
        <v/>
      </c>
      <c r="K529" s="28" t="str">
        <f aca="false">IF($A529="","",IF('3-Turizm İşletmeciliği'!I126="","",'3-Turizm İşletmeciliği'!I126))</f>
        <v/>
      </c>
      <c r="L529" s="28" t="str">
        <f aca="false">IF($I529="","",MATCH($I529,{"08.00";"09.00";"10.00";"11.00";"12.00";"13.00";"14.00";"15.00";"16.00";"17.00"},0))</f>
        <v/>
      </c>
      <c r="M529" s="28" t="str">
        <f aca="false">IF(OR($L529="",$J529=""),"",$L529+$J529-1)</f>
        <v/>
      </c>
      <c r="N529" s="28" t="str">
        <f aca="false">IF($A529="","",IF(OR($L529="",$M529=""),"",IF($M529&gt;10,"⚠ Saat Taşıyor","")))</f>
        <v/>
      </c>
      <c r="O529" s="28" t="str">
        <f aca="false">IF($A529="","",IF(OR($G529="",$H529="",$L529=""),"",IF(SUMPRODUCT(($A$7:$A$606&lt;&gt;"")*($G$7:$G$606=$G529)*($H$7:$H$606=$H529)*(ROW($A$7:$A$606)&lt;&gt;529)*($L$7:$L$606&lt;=$M529)*($M$7:$M$606&gt;=$L529))&gt;0,"⚠ Çakışma","OK")))</f>
        <v/>
      </c>
      <c r="P529" s="28" t="str">
        <f aca="false">IF($A529="","",IF(OR($K529="",$H529="",$L529=""),"",IF(SUMPRODUCT(($A$7:$A$606&lt;&gt;"")*($K$7:$K$606=$K529)*($H$7:$H$606=$H529)*(ROW($A$7:$A$606)&lt;&gt;529)*($L$7:$L$606&lt;=$M529)*($M$7:$M$606&gt;=$L529))&gt;0,"⚠ Çakışma","OK")))</f>
        <v/>
      </c>
      <c r="Q529" s="28" t="str">
        <f aca="false">IF($A529="","",IF(OR($E529="",$H529="",$L529=""),"",IF(SUMPRODUCT(($A$7:$A$606&lt;&gt;"")*($E$7:$E$606=$E529)*($H$7:$H$606=$H529)*(ROW($A$7:$A$606)&lt;&gt;529)*($L$7:$L$606&lt;=$M529)*($M$7:$M$606&gt;=$L529))&gt;0,"⚠ Çakışma","OK")))</f>
        <v/>
      </c>
      <c r="R529" s="28" t="str">
        <f aca="false">IF($A529="","",IF(OR($N529&lt;&gt;"",$O529="⚠ Çakışma",$P529="⚠ Çakışma",$Q529="⚠ Çakışma"),"⚠ Kontrol Et","✓ Uygun"))</f>
        <v/>
      </c>
    </row>
    <row r="530" customFormat="false" ht="13.5" hidden="false" customHeight="true" outlineLevel="0" collapsed="false">
      <c r="A530" s="28" t="str">
        <f aca="false">IF('3-Turizm İşletmeciliği'!A127="","","Turizm İşletmeciliği")</f>
        <v/>
      </c>
      <c r="B530" s="28" t="str">
        <f aca="false">IF($A530="","",IF('3-Turizm İşletmeciliği'!A127="","",'3-Turizm İşletmeciliği'!A127))</f>
        <v/>
      </c>
      <c r="C530" s="29" t="str">
        <f aca="false">IF($A530="","",IF('3-Turizm İşletmeciliği'!B127="","",'3-Turizm İşletmeciliği'!B127))</f>
        <v/>
      </c>
      <c r="D530" s="28" t="str">
        <f aca="false">IF($A530="","",IF('3-Turizm İşletmeciliği'!C127="","",'3-Turizm İşletmeciliği'!C127))</f>
        <v/>
      </c>
      <c r="E530" s="28" t="str">
        <f aca="false">IF($A530="","",$A530&amp;"-"&amp;$D530)</f>
        <v/>
      </c>
      <c r="F530" s="28" t="str">
        <f aca="false">IF($A530="","",IF('3-Turizm İşletmeciliği'!D127="","",'3-Turizm İşletmeciliği'!D127))</f>
        <v/>
      </c>
      <c r="G530" s="28" t="str">
        <f aca="false">IF($A530="","",IF('3-Turizm İşletmeciliği'!E127="","",'3-Turizm İşletmeciliği'!E127))</f>
        <v/>
      </c>
      <c r="H530" s="28" t="str">
        <f aca="false">IF($A530="","",IF('3-Turizm İşletmeciliği'!F127="","",'3-Turizm İşletmeciliği'!F127))</f>
        <v/>
      </c>
      <c r="I530" s="28" t="str">
        <f aca="false">IF($A530="","",IF('3-Turizm İşletmeciliği'!G127="","",'3-Turizm İşletmeciliği'!G127))</f>
        <v/>
      </c>
      <c r="J530" s="28" t="str">
        <f aca="false">IF($A530="","",IF('3-Turizm İşletmeciliği'!H127="","",'3-Turizm İşletmeciliği'!H127))</f>
        <v/>
      </c>
      <c r="K530" s="28" t="str">
        <f aca="false">IF($A530="","",IF('3-Turizm İşletmeciliği'!I127="","",'3-Turizm İşletmeciliği'!I127))</f>
        <v/>
      </c>
      <c r="L530" s="28" t="str">
        <f aca="false">IF($I530="","",MATCH($I530,{"08.00";"09.00";"10.00";"11.00";"12.00";"13.00";"14.00";"15.00";"16.00";"17.00"},0))</f>
        <v/>
      </c>
      <c r="M530" s="28" t="str">
        <f aca="false">IF(OR($L530="",$J530=""),"",$L530+$J530-1)</f>
        <v/>
      </c>
      <c r="N530" s="28" t="str">
        <f aca="false">IF($A530="","",IF(OR($L530="",$M530=""),"",IF($M530&gt;10,"⚠ Saat Taşıyor","")))</f>
        <v/>
      </c>
      <c r="O530" s="28" t="str">
        <f aca="false">IF($A530="","",IF(OR($G530="",$H530="",$L530=""),"",IF(SUMPRODUCT(($A$7:$A$606&lt;&gt;"")*($G$7:$G$606=$G530)*($H$7:$H$606=$H530)*(ROW($A$7:$A$606)&lt;&gt;530)*($L$7:$L$606&lt;=$M530)*($M$7:$M$606&gt;=$L530))&gt;0,"⚠ Çakışma","OK")))</f>
        <v/>
      </c>
      <c r="P530" s="28" t="str">
        <f aca="false">IF($A530="","",IF(OR($K530="",$H530="",$L530=""),"",IF(SUMPRODUCT(($A$7:$A$606&lt;&gt;"")*($K$7:$K$606=$K530)*($H$7:$H$606=$H530)*(ROW($A$7:$A$606)&lt;&gt;530)*($L$7:$L$606&lt;=$M530)*($M$7:$M$606&gt;=$L530))&gt;0,"⚠ Çakışma","OK")))</f>
        <v/>
      </c>
      <c r="Q530" s="28" t="str">
        <f aca="false">IF($A530="","",IF(OR($E530="",$H530="",$L530=""),"",IF(SUMPRODUCT(($A$7:$A$606&lt;&gt;"")*($E$7:$E$606=$E530)*($H$7:$H$606=$H530)*(ROW($A$7:$A$606)&lt;&gt;530)*($L$7:$L$606&lt;=$M530)*($M$7:$M$606&gt;=$L530))&gt;0,"⚠ Çakışma","OK")))</f>
        <v/>
      </c>
      <c r="R530" s="28" t="str">
        <f aca="false">IF($A530="","",IF(OR($N530&lt;&gt;"",$O530="⚠ Çakışma",$P530="⚠ Çakışma",$Q530="⚠ Çakışma"),"⚠ Kontrol Et","✓ Uygun"))</f>
        <v/>
      </c>
    </row>
    <row r="531" customFormat="false" ht="13.5" hidden="false" customHeight="true" outlineLevel="0" collapsed="false">
      <c r="A531" s="28" t="str">
        <f aca="false">IF('3-Turizm İşletmeciliği'!A128="","","Turizm İşletmeciliği")</f>
        <v/>
      </c>
      <c r="B531" s="28" t="str">
        <f aca="false">IF($A531="","",IF('3-Turizm İşletmeciliği'!A128="","",'3-Turizm İşletmeciliği'!A128))</f>
        <v/>
      </c>
      <c r="C531" s="29" t="str">
        <f aca="false">IF($A531="","",IF('3-Turizm İşletmeciliği'!B128="","",'3-Turizm İşletmeciliği'!B128))</f>
        <v/>
      </c>
      <c r="D531" s="28" t="str">
        <f aca="false">IF($A531="","",IF('3-Turizm İşletmeciliği'!C128="","",'3-Turizm İşletmeciliği'!C128))</f>
        <v/>
      </c>
      <c r="E531" s="28" t="str">
        <f aca="false">IF($A531="","",$A531&amp;"-"&amp;$D531)</f>
        <v/>
      </c>
      <c r="F531" s="28" t="str">
        <f aca="false">IF($A531="","",IF('3-Turizm İşletmeciliği'!D128="","",'3-Turizm İşletmeciliği'!D128))</f>
        <v/>
      </c>
      <c r="G531" s="28" t="str">
        <f aca="false">IF($A531="","",IF('3-Turizm İşletmeciliği'!E128="","",'3-Turizm İşletmeciliği'!E128))</f>
        <v/>
      </c>
      <c r="H531" s="28" t="str">
        <f aca="false">IF($A531="","",IF('3-Turizm İşletmeciliği'!F128="","",'3-Turizm İşletmeciliği'!F128))</f>
        <v/>
      </c>
      <c r="I531" s="28" t="str">
        <f aca="false">IF($A531="","",IF('3-Turizm İşletmeciliği'!G128="","",'3-Turizm İşletmeciliği'!G128))</f>
        <v/>
      </c>
      <c r="J531" s="28" t="str">
        <f aca="false">IF($A531="","",IF('3-Turizm İşletmeciliği'!H128="","",'3-Turizm İşletmeciliği'!H128))</f>
        <v/>
      </c>
      <c r="K531" s="28" t="str">
        <f aca="false">IF($A531="","",IF('3-Turizm İşletmeciliği'!I128="","",'3-Turizm İşletmeciliği'!I128))</f>
        <v/>
      </c>
      <c r="L531" s="28" t="str">
        <f aca="false">IF($I531="","",MATCH($I531,{"08.00";"09.00";"10.00";"11.00";"12.00";"13.00";"14.00";"15.00";"16.00";"17.00"},0))</f>
        <v/>
      </c>
      <c r="M531" s="28" t="str">
        <f aca="false">IF(OR($L531="",$J531=""),"",$L531+$J531-1)</f>
        <v/>
      </c>
      <c r="N531" s="28" t="str">
        <f aca="false">IF($A531="","",IF(OR($L531="",$M531=""),"",IF($M531&gt;10,"⚠ Saat Taşıyor","")))</f>
        <v/>
      </c>
      <c r="O531" s="28" t="str">
        <f aca="false">IF($A531="","",IF(OR($G531="",$H531="",$L531=""),"",IF(SUMPRODUCT(($A$7:$A$606&lt;&gt;"")*($G$7:$G$606=$G531)*($H$7:$H$606=$H531)*(ROW($A$7:$A$606)&lt;&gt;531)*($L$7:$L$606&lt;=$M531)*($M$7:$M$606&gt;=$L531))&gt;0,"⚠ Çakışma","OK")))</f>
        <v/>
      </c>
      <c r="P531" s="28" t="str">
        <f aca="false">IF($A531="","",IF(OR($K531="",$H531="",$L531=""),"",IF(SUMPRODUCT(($A$7:$A$606&lt;&gt;"")*($K$7:$K$606=$K531)*($H$7:$H$606=$H531)*(ROW($A$7:$A$606)&lt;&gt;531)*($L$7:$L$606&lt;=$M531)*($M$7:$M$606&gt;=$L531))&gt;0,"⚠ Çakışma","OK")))</f>
        <v/>
      </c>
      <c r="Q531" s="28" t="str">
        <f aca="false">IF($A531="","",IF(OR($E531="",$H531="",$L531=""),"",IF(SUMPRODUCT(($A$7:$A$606&lt;&gt;"")*($E$7:$E$606=$E531)*($H$7:$H$606=$H531)*(ROW($A$7:$A$606)&lt;&gt;531)*($L$7:$L$606&lt;=$M531)*($M$7:$M$606&gt;=$L531))&gt;0,"⚠ Çakışma","OK")))</f>
        <v/>
      </c>
      <c r="R531" s="28" t="str">
        <f aca="false">IF($A531="","",IF(OR($N531&lt;&gt;"",$O531="⚠ Çakışma",$P531="⚠ Çakışma",$Q531="⚠ Çakışma"),"⚠ Kontrol Et","✓ Uygun"))</f>
        <v/>
      </c>
    </row>
    <row r="532" customFormat="false" ht="13.5" hidden="false" customHeight="true" outlineLevel="0" collapsed="false">
      <c r="A532" s="28" t="str">
        <f aca="false">IF('3-Turizm İşletmeciliği'!A129="","","Turizm İşletmeciliği")</f>
        <v/>
      </c>
      <c r="B532" s="28" t="str">
        <f aca="false">IF($A532="","",IF('3-Turizm İşletmeciliği'!A129="","",'3-Turizm İşletmeciliği'!A129))</f>
        <v/>
      </c>
      <c r="C532" s="29" t="str">
        <f aca="false">IF($A532="","",IF('3-Turizm İşletmeciliği'!B129="","",'3-Turizm İşletmeciliği'!B129))</f>
        <v/>
      </c>
      <c r="D532" s="28" t="str">
        <f aca="false">IF($A532="","",IF('3-Turizm İşletmeciliği'!C129="","",'3-Turizm İşletmeciliği'!C129))</f>
        <v/>
      </c>
      <c r="E532" s="28" t="str">
        <f aca="false">IF($A532="","",$A532&amp;"-"&amp;$D532)</f>
        <v/>
      </c>
      <c r="F532" s="28" t="str">
        <f aca="false">IF($A532="","",IF('3-Turizm İşletmeciliği'!D129="","",'3-Turizm İşletmeciliği'!D129))</f>
        <v/>
      </c>
      <c r="G532" s="28" t="str">
        <f aca="false">IF($A532="","",IF('3-Turizm İşletmeciliği'!E129="","",'3-Turizm İşletmeciliği'!E129))</f>
        <v/>
      </c>
      <c r="H532" s="28" t="str">
        <f aca="false">IF($A532="","",IF('3-Turizm İşletmeciliği'!F129="","",'3-Turizm İşletmeciliği'!F129))</f>
        <v/>
      </c>
      <c r="I532" s="28" t="str">
        <f aca="false">IF($A532="","",IF('3-Turizm İşletmeciliği'!G129="","",'3-Turizm İşletmeciliği'!G129))</f>
        <v/>
      </c>
      <c r="J532" s="28" t="str">
        <f aca="false">IF($A532="","",IF('3-Turizm İşletmeciliği'!H129="","",'3-Turizm İşletmeciliği'!H129))</f>
        <v/>
      </c>
      <c r="K532" s="28" t="str">
        <f aca="false">IF($A532="","",IF('3-Turizm İşletmeciliği'!I129="","",'3-Turizm İşletmeciliği'!I129))</f>
        <v/>
      </c>
      <c r="L532" s="28" t="str">
        <f aca="false">IF($I532="","",MATCH($I532,{"08.00";"09.00";"10.00";"11.00";"12.00";"13.00";"14.00";"15.00";"16.00";"17.00"},0))</f>
        <v/>
      </c>
      <c r="M532" s="28" t="str">
        <f aca="false">IF(OR($L532="",$J532=""),"",$L532+$J532-1)</f>
        <v/>
      </c>
      <c r="N532" s="28" t="str">
        <f aca="false">IF($A532="","",IF(OR($L532="",$M532=""),"",IF($M532&gt;10,"⚠ Saat Taşıyor","")))</f>
        <v/>
      </c>
      <c r="O532" s="28" t="str">
        <f aca="false">IF($A532="","",IF(OR($G532="",$H532="",$L532=""),"",IF(SUMPRODUCT(($A$7:$A$606&lt;&gt;"")*($G$7:$G$606=$G532)*($H$7:$H$606=$H532)*(ROW($A$7:$A$606)&lt;&gt;532)*($L$7:$L$606&lt;=$M532)*($M$7:$M$606&gt;=$L532))&gt;0,"⚠ Çakışma","OK")))</f>
        <v/>
      </c>
      <c r="P532" s="28" t="str">
        <f aca="false">IF($A532="","",IF(OR($K532="",$H532="",$L532=""),"",IF(SUMPRODUCT(($A$7:$A$606&lt;&gt;"")*($K$7:$K$606=$K532)*($H$7:$H$606=$H532)*(ROW($A$7:$A$606)&lt;&gt;532)*($L$7:$L$606&lt;=$M532)*($M$7:$M$606&gt;=$L532))&gt;0,"⚠ Çakışma","OK")))</f>
        <v/>
      </c>
      <c r="Q532" s="28" t="str">
        <f aca="false">IF($A532="","",IF(OR($E532="",$H532="",$L532=""),"",IF(SUMPRODUCT(($A$7:$A$606&lt;&gt;"")*($E$7:$E$606=$E532)*($H$7:$H$606=$H532)*(ROW($A$7:$A$606)&lt;&gt;532)*($L$7:$L$606&lt;=$M532)*($M$7:$M$606&gt;=$L532))&gt;0,"⚠ Çakışma","OK")))</f>
        <v/>
      </c>
      <c r="R532" s="28" t="str">
        <f aca="false">IF($A532="","",IF(OR($N532&lt;&gt;"",$O532="⚠ Çakışma",$P532="⚠ Çakışma",$Q532="⚠ Çakışma"),"⚠ Kontrol Et","✓ Uygun"))</f>
        <v/>
      </c>
    </row>
    <row r="533" customFormat="false" ht="13.5" hidden="false" customHeight="true" outlineLevel="0" collapsed="false">
      <c r="A533" s="28" t="str">
        <f aca="false">IF('3-Turizm İşletmeciliği'!A130="","","Turizm İşletmeciliği")</f>
        <v/>
      </c>
      <c r="B533" s="28" t="str">
        <f aca="false">IF($A533="","",IF('3-Turizm İşletmeciliği'!A130="","",'3-Turizm İşletmeciliği'!A130))</f>
        <v/>
      </c>
      <c r="C533" s="29" t="str">
        <f aca="false">IF($A533="","",IF('3-Turizm İşletmeciliği'!B130="","",'3-Turizm İşletmeciliği'!B130))</f>
        <v/>
      </c>
      <c r="D533" s="28" t="str">
        <f aca="false">IF($A533="","",IF('3-Turizm İşletmeciliği'!C130="","",'3-Turizm İşletmeciliği'!C130))</f>
        <v/>
      </c>
      <c r="E533" s="28" t="str">
        <f aca="false">IF($A533="","",$A533&amp;"-"&amp;$D533)</f>
        <v/>
      </c>
      <c r="F533" s="28" t="str">
        <f aca="false">IF($A533="","",IF('3-Turizm İşletmeciliği'!D130="","",'3-Turizm İşletmeciliği'!D130))</f>
        <v/>
      </c>
      <c r="G533" s="28" t="str">
        <f aca="false">IF($A533="","",IF('3-Turizm İşletmeciliği'!E130="","",'3-Turizm İşletmeciliği'!E130))</f>
        <v/>
      </c>
      <c r="H533" s="28" t="str">
        <f aca="false">IF($A533="","",IF('3-Turizm İşletmeciliği'!F130="","",'3-Turizm İşletmeciliği'!F130))</f>
        <v/>
      </c>
      <c r="I533" s="28" t="str">
        <f aca="false">IF($A533="","",IF('3-Turizm İşletmeciliği'!G130="","",'3-Turizm İşletmeciliği'!G130))</f>
        <v/>
      </c>
      <c r="J533" s="28" t="str">
        <f aca="false">IF($A533="","",IF('3-Turizm İşletmeciliği'!H130="","",'3-Turizm İşletmeciliği'!H130))</f>
        <v/>
      </c>
      <c r="K533" s="28" t="str">
        <f aca="false">IF($A533="","",IF('3-Turizm İşletmeciliği'!I130="","",'3-Turizm İşletmeciliği'!I130))</f>
        <v/>
      </c>
      <c r="L533" s="28" t="str">
        <f aca="false">IF($I533="","",MATCH($I533,{"08.00";"09.00";"10.00";"11.00";"12.00";"13.00";"14.00";"15.00";"16.00";"17.00"},0))</f>
        <v/>
      </c>
      <c r="M533" s="28" t="str">
        <f aca="false">IF(OR($L533="",$J533=""),"",$L533+$J533-1)</f>
        <v/>
      </c>
      <c r="N533" s="28" t="str">
        <f aca="false">IF($A533="","",IF(OR($L533="",$M533=""),"",IF($M533&gt;10,"⚠ Saat Taşıyor","")))</f>
        <v/>
      </c>
      <c r="O533" s="28" t="str">
        <f aca="false">IF($A533="","",IF(OR($G533="",$H533="",$L533=""),"",IF(SUMPRODUCT(($A$7:$A$606&lt;&gt;"")*($G$7:$G$606=$G533)*($H$7:$H$606=$H533)*(ROW($A$7:$A$606)&lt;&gt;533)*($L$7:$L$606&lt;=$M533)*($M$7:$M$606&gt;=$L533))&gt;0,"⚠ Çakışma","OK")))</f>
        <v/>
      </c>
      <c r="P533" s="28" t="str">
        <f aca="false">IF($A533="","",IF(OR($K533="",$H533="",$L533=""),"",IF(SUMPRODUCT(($A$7:$A$606&lt;&gt;"")*($K$7:$K$606=$K533)*($H$7:$H$606=$H533)*(ROW($A$7:$A$606)&lt;&gt;533)*($L$7:$L$606&lt;=$M533)*($M$7:$M$606&gt;=$L533))&gt;0,"⚠ Çakışma","OK")))</f>
        <v/>
      </c>
      <c r="Q533" s="28" t="str">
        <f aca="false">IF($A533="","",IF(OR($E533="",$H533="",$L533=""),"",IF(SUMPRODUCT(($A$7:$A$606&lt;&gt;"")*($E$7:$E$606=$E533)*($H$7:$H$606=$H533)*(ROW($A$7:$A$606)&lt;&gt;533)*($L$7:$L$606&lt;=$M533)*($M$7:$M$606&gt;=$L533))&gt;0,"⚠ Çakışma","OK")))</f>
        <v/>
      </c>
      <c r="R533" s="28" t="str">
        <f aca="false">IF($A533="","",IF(OR($N533&lt;&gt;"",$O533="⚠ Çakışma",$P533="⚠ Çakışma",$Q533="⚠ Çakışma"),"⚠ Kontrol Et","✓ Uygun"))</f>
        <v/>
      </c>
    </row>
    <row r="534" customFormat="false" ht="13.5" hidden="false" customHeight="true" outlineLevel="0" collapsed="false">
      <c r="A534" s="28" t="str">
        <f aca="false">IF('3-Turizm İşletmeciliği'!A131="","","Turizm İşletmeciliği")</f>
        <v/>
      </c>
      <c r="B534" s="28" t="str">
        <f aca="false">IF($A534="","",IF('3-Turizm İşletmeciliği'!A131="","",'3-Turizm İşletmeciliği'!A131))</f>
        <v/>
      </c>
      <c r="C534" s="29" t="str">
        <f aca="false">IF($A534="","",IF('3-Turizm İşletmeciliği'!B131="","",'3-Turizm İşletmeciliği'!B131))</f>
        <v/>
      </c>
      <c r="D534" s="28" t="str">
        <f aca="false">IF($A534="","",IF('3-Turizm İşletmeciliği'!C131="","",'3-Turizm İşletmeciliği'!C131))</f>
        <v/>
      </c>
      <c r="E534" s="28" t="str">
        <f aca="false">IF($A534="","",$A534&amp;"-"&amp;$D534)</f>
        <v/>
      </c>
      <c r="F534" s="28" t="str">
        <f aca="false">IF($A534="","",IF('3-Turizm İşletmeciliği'!D131="","",'3-Turizm İşletmeciliği'!D131))</f>
        <v/>
      </c>
      <c r="G534" s="28" t="str">
        <f aca="false">IF($A534="","",IF('3-Turizm İşletmeciliği'!E131="","",'3-Turizm İşletmeciliği'!E131))</f>
        <v/>
      </c>
      <c r="H534" s="28" t="str">
        <f aca="false">IF($A534="","",IF('3-Turizm İşletmeciliği'!F131="","",'3-Turizm İşletmeciliği'!F131))</f>
        <v/>
      </c>
      <c r="I534" s="28" t="str">
        <f aca="false">IF($A534="","",IF('3-Turizm İşletmeciliği'!G131="","",'3-Turizm İşletmeciliği'!G131))</f>
        <v/>
      </c>
      <c r="J534" s="28" t="str">
        <f aca="false">IF($A534="","",IF('3-Turizm İşletmeciliği'!H131="","",'3-Turizm İşletmeciliği'!H131))</f>
        <v/>
      </c>
      <c r="K534" s="28" t="str">
        <f aca="false">IF($A534="","",IF('3-Turizm İşletmeciliği'!I131="","",'3-Turizm İşletmeciliği'!I131))</f>
        <v/>
      </c>
      <c r="L534" s="28" t="str">
        <f aca="false">IF($I534="","",MATCH($I534,{"08.00";"09.00";"10.00";"11.00";"12.00";"13.00";"14.00";"15.00";"16.00";"17.00"},0))</f>
        <v/>
      </c>
      <c r="M534" s="28" t="str">
        <f aca="false">IF(OR($L534="",$J534=""),"",$L534+$J534-1)</f>
        <v/>
      </c>
      <c r="N534" s="28" t="str">
        <f aca="false">IF($A534="","",IF(OR($L534="",$M534=""),"",IF($M534&gt;10,"⚠ Saat Taşıyor","")))</f>
        <v/>
      </c>
      <c r="O534" s="28" t="str">
        <f aca="false">IF($A534="","",IF(OR($G534="",$H534="",$L534=""),"",IF(SUMPRODUCT(($A$7:$A$606&lt;&gt;"")*($G$7:$G$606=$G534)*($H$7:$H$606=$H534)*(ROW($A$7:$A$606)&lt;&gt;534)*($L$7:$L$606&lt;=$M534)*($M$7:$M$606&gt;=$L534))&gt;0,"⚠ Çakışma","OK")))</f>
        <v/>
      </c>
      <c r="P534" s="28" t="str">
        <f aca="false">IF($A534="","",IF(OR($K534="",$H534="",$L534=""),"",IF(SUMPRODUCT(($A$7:$A$606&lt;&gt;"")*($K$7:$K$606=$K534)*($H$7:$H$606=$H534)*(ROW($A$7:$A$606)&lt;&gt;534)*($L$7:$L$606&lt;=$M534)*($M$7:$M$606&gt;=$L534))&gt;0,"⚠ Çakışma","OK")))</f>
        <v/>
      </c>
      <c r="Q534" s="28" t="str">
        <f aca="false">IF($A534="","",IF(OR($E534="",$H534="",$L534=""),"",IF(SUMPRODUCT(($A$7:$A$606&lt;&gt;"")*($E$7:$E$606=$E534)*($H$7:$H$606=$H534)*(ROW($A$7:$A$606)&lt;&gt;534)*($L$7:$L$606&lt;=$M534)*($M$7:$M$606&gt;=$L534))&gt;0,"⚠ Çakışma","OK")))</f>
        <v/>
      </c>
      <c r="R534" s="28" t="str">
        <f aca="false">IF($A534="","",IF(OR($N534&lt;&gt;"",$O534="⚠ Çakışma",$P534="⚠ Çakışma",$Q534="⚠ Çakışma"),"⚠ Kontrol Et","✓ Uygun"))</f>
        <v/>
      </c>
    </row>
    <row r="535" customFormat="false" ht="13.5" hidden="false" customHeight="true" outlineLevel="0" collapsed="false">
      <c r="A535" s="28" t="str">
        <f aca="false">IF('3-Turizm İşletmeciliği'!A132="","","Turizm İşletmeciliği")</f>
        <v/>
      </c>
      <c r="B535" s="28" t="str">
        <f aca="false">IF($A535="","",IF('3-Turizm İşletmeciliği'!A132="","",'3-Turizm İşletmeciliği'!A132))</f>
        <v/>
      </c>
      <c r="C535" s="29" t="str">
        <f aca="false">IF($A535="","",IF('3-Turizm İşletmeciliği'!B132="","",'3-Turizm İşletmeciliği'!B132))</f>
        <v/>
      </c>
      <c r="D535" s="28" t="str">
        <f aca="false">IF($A535="","",IF('3-Turizm İşletmeciliği'!C132="","",'3-Turizm İşletmeciliği'!C132))</f>
        <v/>
      </c>
      <c r="E535" s="28" t="str">
        <f aca="false">IF($A535="","",$A535&amp;"-"&amp;$D535)</f>
        <v/>
      </c>
      <c r="F535" s="28" t="str">
        <f aca="false">IF($A535="","",IF('3-Turizm İşletmeciliği'!D132="","",'3-Turizm İşletmeciliği'!D132))</f>
        <v/>
      </c>
      <c r="G535" s="28" t="str">
        <f aca="false">IF($A535="","",IF('3-Turizm İşletmeciliği'!E132="","",'3-Turizm İşletmeciliği'!E132))</f>
        <v/>
      </c>
      <c r="H535" s="28" t="str">
        <f aca="false">IF($A535="","",IF('3-Turizm İşletmeciliği'!F132="","",'3-Turizm İşletmeciliği'!F132))</f>
        <v/>
      </c>
      <c r="I535" s="28" t="str">
        <f aca="false">IF($A535="","",IF('3-Turizm İşletmeciliği'!G132="","",'3-Turizm İşletmeciliği'!G132))</f>
        <v/>
      </c>
      <c r="J535" s="28" t="str">
        <f aca="false">IF($A535="","",IF('3-Turizm İşletmeciliği'!H132="","",'3-Turizm İşletmeciliği'!H132))</f>
        <v/>
      </c>
      <c r="K535" s="28" t="str">
        <f aca="false">IF($A535="","",IF('3-Turizm İşletmeciliği'!I132="","",'3-Turizm İşletmeciliği'!I132))</f>
        <v/>
      </c>
      <c r="L535" s="28" t="str">
        <f aca="false">IF($I535="","",MATCH($I535,{"08.00";"09.00";"10.00";"11.00";"12.00";"13.00";"14.00";"15.00";"16.00";"17.00"},0))</f>
        <v/>
      </c>
      <c r="M535" s="28" t="str">
        <f aca="false">IF(OR($L535="",$J535=""),"",$L535+$J535-1)</f>
        <v/>
      </c>
      <c r="N535" s="28" t="str">
        <f aca="false">IF($A535="","",IF(OR($L535="",$M535=""),"",IF($M535&gt;10,"⚠ Saat Taşıyor","")))</f>
        <v/>
      </c>
      <c r="O535" s="28" t="str">
        <f aca="false">IF($A535="","",IF(OR($G535="",$H535="",$L535=""),"",IF(SUMPRODUCT(($A$7:$A$606&lt;&gt;"")*($G$7:$G$606=$G535)*($H$7:$H$606=$H535)*(ROW($A$7:$A$606)&lt;&gt;535)*($L$7:$L$606&lt;=$M535)*($M$7:$M$606&gt;=$L535))&gt;0,"⚠ Çakışma","OK")))</f>
        <v/>
      </c>
      <c r="P535" s="28" t="str">
        <f aca="false">IF($A535="","",IF(OR($K535="",$H535="",$L535=""),"",IF(SUMPRODUCT(($A$7:$A$606&lt;&gt;"")*($K$7:$K$606=$K535)*($H$7:$H$606=$H535)*(ROW($A$7:$A$606)&lt;&gt;535)*($L$7:$L$606&lt;=$M535)*($M$7:$M$606&gt;=$L535))&gt;0,"⚠ Çakışma","OK")))</f>
        <v/>
      </c>
      <c r="Q535" s="28" t="str">
        <f aca="false">IF($A535="","",IF(OR($E535="",$H535="",$L535=""),"",IF(SUMPRODUCT(($A$7:$A$606&lt;&gt;"")*($E$7:$E$606=$E535)*($H$7:$H$606=$H535)*(ROW($A$7:$A$606)&lt;&gt;535)*($L$7:$L$606&lt;=$M535)*($M$7:$M$606&gt;=$L535))&gt;0,"⚠ Çakışma","OK")))</f>
        <v/>
      </c>
      <c r="R535" s="28" t="str">
        <f aca="false">IF($A535="","",IF(OR($N535&lt;&gt;"",$O535="⚠ Çakışma",$P535="⚠ Çakışma",$Q535="⚠ Çakışma"),"⚠ Kontrol Et","✓ Uygun"))</f>
        <v/>
      </c>
    </row>
    <row r="536" customFormat="false" ht="13.5" hidden="false" customHeight="true" outlineLevel="0" collapsed="false">
      <c r="A536" s="28" t="str">
        <f aca="false">IF('3-Turizm İşletmeciliği'!A133="","","Turizm İşletmeciliği")</f>
        <v/>
      </c>
      <c r="B536" s="28" t="str">
        <f aca="false">IF($A536="","",IF('3-Turizm İşletmeciliği'!A133="","",'3-Turizm İşletmeciliği'!A133))</f>
        <v/>
      </c>
      <c r="C536" s="29" t="str">
        <f aca="false">IF($A536="","",IF('3-Turizm İşletmeciliği'!B133="","",'3-Turizm İşletmeciliği'!B133))</f>
        <v/>
      </c>
      <c r="D536" s="28" t="str">
        <f aca="false">IF($A536="","",IF('3-Turizm İşletmeciliği'!C133="","",'3-Turizm İşletmeciliği'!C133))</f>
        <v/>
      </c>
      <c r="E536" s="28" t="str">
        <f aca="false">IF($A536="","",$A536&amp;"-"&amp;$D536)</f>
        <v/>
      </c>
      <c r="F536" s="28" t="str">
        <f aca="false">IF($A536="","",IF('3-Turizm İşletmeciliği'!D133="","",'3-Turizm İşletmeciliği'!D133))</f>
        <v/>
      </c>
      <c r="G536" s="28" t="str">
        <f aca="false">IF($A536="","",IF('3-Turizm İşletmeciliği'!E133="","",'3-Turizm İşletmeciliği'!E133))</f>
        <v/>
      </c>
      <c r="H536" s="28" t="str">
        <f aca="false">IF($A536="","",IF('3-Turizm İşletmeciliği'!F133="","",'3-Turizm İşletmeciliği'!F133))</f>
        <v/>
      </c>
      <c r="I536" s="28" t="str">
        <f aca="false">IF($A536="","",IF('3-Turizm İşletmeciliği'!G133="","",'3-Turizm İşletmeciliği'!G133))</f>
        <v/>
      </c>
      <c r="J536" s="28" t="str">
        <f aca="false">IF($A536="","",IF('3-Turizm İşletmeciliği'!H133="","",'3-Turizm İşletmeciliği'!H133))</f>
        <v/>
      </c>
      <c r="K536" s="28" t="str">
        <f aca="false">IF($A536="","",IF('3-Turizm İşletmeciliği'!I133="","",'3-Turizm İşletmeciliği'!I133))</f>
        <v/>
      </c>
      <c r="L536" s="28" t="str">
        <f aca="false">IF($I536="","",MATCH($I536,{"08.00";"09.00";"10.00";"11.00";"12.00";"13.00";"14.00";"15.00";"16.00";"17.00"},0))</f>
        <v/>
      </c>
      <c r="M536" s="28" t="str">
        <f aca="false">IF(OR($L536="",$J536=""),"",$L536+$J536-1)</f>
        <v/>
      </c>
      <c r="N536" s="28" t="str">
        <f aca="false">IF($A536="","",IF(OR($L536="",$M536=""),"",IF($M536&gt;10,"⚠ Saat Taşıyor","")))</f>
        <v/>
      </c>
      <c r="O536" s="28" t="str">
        <f aca="false">IF($A536="","",IF(OR($G536="",$H536="",$L536=""),"",IF(SUMPRODUCT(($A$7:$A$606&lt;&gt;"")*($G$7:$G$606=$G536)*($H$7:$H$606=$H536)*(ROW($A$7:$A$606)&lt;&gt;536)*($L$7:$L$606&lt;=$M536)*($M$7:$M$606&gt;=$L536))&gt;0,"⚠ Çakışma","OK")))</f>
        <v/>
      </c>
      <c r="P536" s="28" t="str">
        <f aca="false">IF($A536="","",IF(OR($K536="",$H536="",$L536=""),"",IF(SUMPRODUCT(($A$7:$A$606&lt;&gt;"")*($K$7:$K$606=$K536)*($H$7:$H$606=$H536)*(ROW($A$7:$A$606)&lt;&gt;536)*($L$7:$L$606&lt;=$M536)*($M$7:$M$606&gt;=$L536))&gt;0,"⚠ Çakışma","OK")))</f>
        <v/>
      </c>
      <c r="Q536" s="28" t="str">
        <f aca="false">IF($A536="","",IF(OR($E536="",$H536="",$L536=""),"",IF(SUMPRODUCT(($A$7:$A$606&lt;&gt;"")*($E$7:$E$606=$E536)*($H$7:$H$606=$H536)*(ROW($A$7:$A$606)&lt;&gt;536)*($L$7:$L$606&lt;=$M536)*($M$7:$M$606&gt;=$L536))&gt;0,"⚠ Çakışma","OK")))</f>
        <v/>
      </c>
      <c r="R536" s="28" t="str">
        <f aca="false">IF($A536="","",IF(OR($N536&lt;&gt;"",$O536="⚠ Çakışma",$P536="⚠ Çakışma",$Q536="⚠ Çakışma"),"⚠ Kontrol Et","✓ Uygun"))</f>
        <v/>
      </c>
    </row>
    <row r="537" customFormat="false" ht="13.5" hidden="false" customHeight="true" outlineLevel="0" collapsed="false">
      <c r="A537" s="28" t="str">
        <f aca="false">IF('3-Turizm İşletmeciliği'!A134="","","Turizm İşletmeciliği")</f>
        <v/>
      </c>
      <c r="B537" s="28" t="str">
        <f aca="false">IF($A537="","",IF('3-Turizm İşletmeciliği'!A134="","",'3-Turizm İşletmeciliği'!A134))</f>
        <v/>
      </c>
      <c r="C537" s="29" t="str">
        <f aca="false">IF($A537="","",IF('3-Turizm İşletmeciliği'!B134="","",'3-Turizm İşletmeciliği'!B134))</f>
        <v/>
      </c>
      <c r="D537" s="28" t="str">
        <f aca="false">IF($A537="","",IF('3-Turizm İşletmeciliği'!C134="","",'3-Turizm İşletmeciliği'!C134))</f>
        <v/>
      </c>
      <c r="E537" s="28" t="str">
        <f aca="false">IF($A537="","",$A537&amp;"-"&amp;$D537)</f>
        <v/>
      </c>
      <c r="F537" s="28" t="str">
        <f aca="false">IF($A537="","",IF('3-Turizm İşletmeciliği'!D134="","",'3-Turizm İşletmeciliği'!D134))</f>
        <v/>
      </c>
      <c r="G537" s="28" t="str">
        <f aca="false">IF($A537="","",IF('3-Turizm İşletmeciliği'!E134="","",'3-Turizm İşletmeciliği'!E134))</f>
        <v/>
      </c>
      <c r="H537" s="28" t="str">
        <f aca="false">IF($A537="","",IF('3-Turizm İşletmeciliği'!F134="","",'3-Turizm İşletmeciliği'!F134))</f>
        <v/>
      </c>
      <c r="I537" s="28" t="str">
        <f aca="false">IF($A537="","",IF('3-Turizm İşletmeciliği'!G134="","",'3-Turizm İşletmeciliği'!G134))</f>
        <v/>
      </c>
      <c r="J537" s="28" t="str">
        <f aca="false">IF($A537="","",IF('3-Turizm İşletmeciliği'!H134="","",'3-Turizm İşletmeciliği'!H134))</f>
        <v/>
      </c>
      <c r="K537" s="28" t="str">
        <f aca="false">IF($A537="","",IF('3-Turizm İşletmeciliği'!I134="","",'3-Turizm İşletmeciliği'!I134))</f>
        <v/>
      </c>
      <c r="L537" s="28" t="str">
        <f aca="false">IF($I537="","",MATCH($I537,{"08.00";"09.00";"10.00";"11.00";"12.00";"13.00";"14.00";"15.00";"16.00";"17.00"},0))</f>
        <v/>
      </c>
      <c r="M537" s="28" t="str">
        <f aca="false">IF(OR($L537="",$J537=""),"",$L537+$J537-1)</f>
        <v/>
      </c>
      <c r="N537" s="28" t="str">
        <f aca="false">IF($A537="","",IF(OR($L537="",$M537=""),"",IF($M537&gt;10,"⚠ Saat Taşıyor","")))</f>
        <v/>
      </c>
      <c r="O537" s="28" t="str">
        <f aca="false">IF($A537="","",IF(OR($G537="",$H537="",$L537=""),"",IF(SUMPRODUCT(($A$7:$A$606&lt;&gt;"")*($G$7:$G$606=$G537)*($H$7:$H$606=$H537)*(ROW($A$7:$A$606)&lt;&gt;537)*($L$7:$L$606&lt;=$M537)*($M$7:$M$606&gt;=$L537))&gt;0,"⚠ Çakışma","OK")))</f>
        <v/>
      </c>
      <c r="P537" s="28" t="str">
        <f aca="false">IF($A537="","",IF(OR($K537="",$H537="",$L537=""),"",IF(SUMPRODUCT(($A$7:$A$606&lt;&gt;"")*($K$7:$K$606=$K537)*($H$7:$H$606=$H537)*(ROW($A$7:$A$606)&lt;&gt;537)*($L$7:$L$606&lt;=$M537)*($M$7:$M$606&gt;=$L537))&gt;0,"⚠ Çakışma","OK")))</f>
        <v/>
      </c>
      <c r="Q537" s="28" t="str">
        <f aca="false">IF($A537="","",IF(OR($E537="",$H537="",$L537=""),"",IF(SUMPRODUCT(($A$7:$A$606&lt;&gt;"")*($E$7:$E$606=$E537)*($H$7:$H$606=$H537)*(ROW($A$7:$A$606)&lt;&gt;537)*($L$7:$L$606&lt;=$M537)*($M$7:$M$606&gt;=$L537))&gt;0,"⚠ Çakışma","OK")))</f>
        <v/>
      </c>
      <c r="R537" s="28" t="str">
        <f aca="false">IF($A537="","",IF(OR($N537&lt;&gt;"",$O537="⚠ Çakışma",$P537="⚠ Çakışma",$Q537="⚠ Çakışma"),"⚠ Kontrol Et","✓ Uygun"))</f>
        <v/>
      </c>
    </row>
    <row r="538" customFormat="false" ht="13.5" hidden="false" customHeight="true" outlineLevel="0" collapsed="false">
      <c r="A538" s="28" t="str">
        <f aca="false">IF('3-Turizm İşletmeciliği'!A135="","","Turizm İşletmeciliği")</f>
        <v/>
      </c>
      <c r="B538" s="28" t="str">
        <f aca="false">IF($A538="","",IF('3-Turizm İşletmeciliği'!A135="","",'3-Turizm İşletmeciliği'!A135))</f>
        <v/>
      </c>
      <c r="C538" s="29" t="str">
        <f aca="false">IF($A538="","",IF('3-Turizm İşletmeciliği'!B135="","",'3-Turizm İşletmeciliği'!B135))</f>
        <v/>
      </c>
      <c r="D538" s="28" t="str">
        <f aca="false">IF($A538="","",IF('3-Turizm İşletmeciliği'!C135="","",'3-Turizm İşletmeciliği'!C135))</f>
        <v/>
      </c>
      <c r="E538" s="28" t="str">
        <f aca="false">IF($A538="","",$A538&amp;"-"&amp;$D538)</f>
        <v/>
      </c>
      <c r="F538" s="28" t="str">
        <f aca="false">IF($A538="","",IF('3-Turizm İşletmeciliği'!D135="","",'3-Turizm İşletmeciliği'!D135))</f>
        <v/>
      </c>
      <c r="G538" s="28" t="str">
        <f aca="false">IF($A538="","",IF('3-Turizm İşletmeciliği'!E135="","",'3-Turizm İşletmeciliği'!E135))</f>
        <v/>
      </c>
      <c r="H538" s="28" t="str">
        <f aca="false">IF($A538="","",IF('3-Turizm İşletmeciliği'!F135="","",'3-Turizm İşletmeciliği'!F135))</f>
        <v/>
      </c>
      <c r="I538" s="28" t="str">
        <f aca="false">IF($A538="","",IF('3-Turizm İşletmeciliği'!G135="","",'3-Turizm İşletmeciliği'!G135))</f>
        <v/>
      </c>
      <c r="J538" s="28" t="str">
        <f aca="false">IF($A538="","",IF('3-Turizm İşletmeciliği'!H135="","",'3-Turizm İşletmeciliği'!H135))</f>
        <v/>
      </c>
      <c r="K538" s="28" t="str">
        <f aca="false">IF($A538="","",IF('3-Turizm İşletmeciliği'!I135="","",'3-Turizm İşletmeciliği'!I135))</f>
        <v/>
      </c>
      <c r="L538" s="28" t="str">
        <f aca="false">IF($I538="","",MATCH($I538,{"08.00";"09.00";"10.00";"11.00";"12.00";"13.00";"14.00";"15.00";"16.00";"17.00"},0))</f>
        <v/>
      </c>
      <c r="M538" s="28" t="str">
        <f aca="false">IF(OR($L538="",$J538=""),"",$L538+$J538-1)</f>
        <v/>
      </c>
      <c r="N538" s="28" t="str">
        <f aca="false">IF($A538="","",IF(OR($L538="",$M538=""),"",IF($M538&gt;10,"⚠ Saat Taşıyor","")))</f>
        <v/>
      </c>
      <c r="O538" s="28" t="str">
        <f aca="false">IF($A538="","",IF(OR($G538="",$H538="",$L538=""),"",IF(SUMPRODUCT(($A$7:$A$606&lt;&gt;"")*($G$7:$G$606=$G538)*($H$7:$H$606=$H538)*(ROW($A$7:$A$606)&lt;&gt;538)*($L$7:$L$606&lt;=$M538)*($M$7:$M$606&gt;=$L538))&gt;0,"⚠ Çakışma","OK")))</f>
        <v/>
      </c>
      <c r="P538" s="28" t="str">
        <f aca="false">IF($A538="","",IF(OR($K538="",$H538="",$L538=""),"",IF(SUMPRODUCT(($A$7:$A$606&lt;&gt;"")*($K$7:$K$606=$K538)*($H$7:$H$606=$H538)*(ROW($A$7:$A$606)&lt;&gt;538)*($L$7:$L$606&lt;=$M538)*($M$7:$M$606&gt;=$L538))&gt;0,"⚠ Çakışma","OK")))</f>
        <v/>
      </c>
      <c r="Q538" s="28" t="str">
        <f aca="false">IF($A538="","",IF(OR($E538="",$H538="",$L538=""),"",IF(SUMPRODUCT(($A$7:$A$606&lt;&gt;"")*($E$7:$E$606=$E538)*($H$7:$H$606=$H538)*(ROW($A$7:$A$606)&lt;&gt;538)*($L$7:$L$606&lt;=$M538)*($M$7:$M$606&gt;=$L538))&gt;0,"⚠ Çakışma","OK")))</f>
        <v/>
      </c>
      <c r="R538" s="28" t="str">
        <f aca="false">IF($A538="","",IF(OR($N538&lt;&gt;"",$O538="⚠ Çakışma",$P538="⚠ Çakışma",$Q538="⚠ Çakışma"),"⚠ Kontrol Et","✓ Uygun"))</f>
        <v/>
      </c>
    </row>
    <row r="539" customFormat="false" ht="13.5" hidden="false" customHeight="true" outlineLevel="0" collapsed="false">
      <c r="A539" s="28" t="str">
        <f aca="false">IF('3-Turizm İşletmeciliği'!A136="","","Turizm İşletmeciliği")</f>
        <v/>
      </c>
      <c r="B539" s="28" t="str">
        <f aca="false">IF($A539="","",IF('3-Turizm İşletmeciliği'!A136="","",'3-Turizm İşletmeciliği'!A136))</f>
        <v/>
      </c>
      <c r="C539" s="29" t="str">
        <f aca="false">IF($A539="","",IF('3-Turizm İşletmeciliği'!B136="","",'3-Turizm İşletmeciliği'!B136))</f>
        <v/>
      </c>
      <c r="D539" s="28" t="str">
        <f aca="false">IF($A539="","",IF('3-Turizm İşletmeciliği'!C136="","",'3-Turizm İşletmeciliği'!C136))</f>
        <v/>
      </c>
      <c r="E539" s="28" t="str">
        <f aca="false">IF($A539="","",$A539&amp;"-"&amp;$D539)</f>
        <v/>
      </c>
      <c r="F539" s="28" t="str">
        <f aca="false">IF($A539="","",IF('3-Turizm İşletmeciliği'!D136="","",'3-Turizm İşletmeciliği'!D136))</f>
        <v/>
      </c>
      <c r="G539" s="28" t="str">
        <f aca="false">IF($A539="","",IF('3-Turizm İşletmeciliği'!E136="","",'3-Turizm İşletmeciliği'!E136))</f>
        <v/>
      </c>
      <c r="H539" s="28" t="str">
        <f aca="false">IF($A539="","",IF('3-Turizm İşletmeciliği'!F136="","",'3-Turizm İşletmeciliği'!F136))</f>
        <v/>
      </c>
      <c r="I539" s="28" t="str">
        <f aca="false">IF($A539="","",IF('3-Turizm İşletmeciliği'!G136="","",'3-Turizm İşletmeciliği'!G136))</f>
        <v/>
      </c>
      <c r="J539" s="28" t="str">
        <f aca="false">IF($A539="","",IF('3-Turizm İşletmeciliği'!H136="","",'3-Turizm İşletmeciliği'!H136))</f>
        <v/>
      </c>
      <c r="K539" s="28" t="str">
        <f aca="false">IF($A539="","",IF('3-Turizm İşletmeciliği'!I136="","",'3-Turizm İşletmeciliği'!I136))</f>
        <v/>
      </c>
      <c r="L539" s="28" t="str">
        <f aca="false">IF($I539="","",MATCH($I539,{"08.00";"09.00";"10.00";"11.00";"12.00";"13.00";"14.00";"15.00";"16.00";"17.00"},0))</f>
        <v/>
      </c>
      <c r="M539" s="28" t="str">
        <f aca="false">IF(OR($L539="",$J539=""),"",$L539+$J539-1)</f>
        <v/>
      </c>
      <c r="N539" s="28" t="str">
        <f aca="false">IF($A539="","",IF(OR($L539="",$M539=""),"",IF($M539&gt;10,"⚠ Saat Taşıyor","")))</f>
        <v/>
      </c>
      <c r="O539" s="28" t="str">
        <f aca="false">IF($A539="","",IF(OR($G539="",$H539="",$L539=""),"",IF(SUMPRODUCT(($A$7:$A$606&lt;&gt;"")*($G$7:$G$606=$G539)*($H$7:$H$606=$H539)*(ROW($A$7:$A$606)&lt;&gt;539)*($L$7:$L$606&lt;=$M539)*($M$7:$M$606&gt;=$L539))&gt;0,"⚠ Çakışma","OK")))</f>
        <v/>
      </c>
      <c r="P539" s="28" t="str">
        <f aca="false">IF($A539="","",IF(OR($K539="",$H539="",$L539=""),"",IF(SUMPRODUCT(($A$7:$A$606&lt;&gt;"")*($K$7:$K$606=$K539)*($H$7:$H$606=$H539)*(ROW($A$7:$A$606)&lt;&gt;539)*($L$7:$L$606&lt;=$M539)*($M$7:$M$606&gt;=$L539))&gt;0,"⚠ Çakışma","OK")))</f>
        <v/>
      </c>
      <c r="Q539" s="28" t="str">
        <f aca="false">IF($A539="","",IF(OR($E539="",$H539="",$L539=""),"",IF(SUMPRODUCT(($A$7:$A$606&lt;&gt;"")*($E$7:$E$606=$E539)*($H$7:$H$606=$H539)*(ROW($A$7:$A$606)&lt;&gt;539)*($L$7:$L$606&lt;=$M539)*($M$7:$M$606&gt;=$L539))&gt;0,"⚠ Çakışma","OK")))</f>
        <v/>
      </c>
      <c r="R539" s="28" t="str">
        <f aca="false">IF($A539="","",IF(OR($N539&lt;&gt;"",$O539="⚠ Çakışma",$P539="⚠ Çakışma",$Q539="⚠ Çakışma"),"⚠ Kontrol Et","✓ Uygun"))</f>
        <v/>
      </c>
    </row>
    <row r="540" customFormat="false" ht="13.5" hidden="false" customHeight="true" outlineLevel="0" collapsed="false">
      <c r="A540" s="28" t="str">
        <f aca="false">IF('3-Turizm İşletmeciliği'!A137="","","Turizm İşletmeciliği")</f>
        <v/>
      </c>
      <c r="B540" s="28" t="str">
        <f aca="false">IF($A540="","",IF('3-Turizm İşletmeciliği'!A137="","",'3-Turizm İşletmeciliği'!A137))</f>
        <v/>
      </c>
      <c r="C540" s="29" t="str">
        <f aca="false">IF($A540="","",IF('3-Turizm İşletmeciliği'!B137="","",'3-Turizm İşletmeciliği'!B137))</f>
        <v/>
      </c>
      <c r="D540" s="28" t="str">
        <f aca="false">IF($A540="","",IF('3-Turizm İşletmeciliği'!C137="","",'3-Turizm İşletmeciliği'!C137))</f>
        <v/>
      </c>
      <c r="E540" s="28" t="str">
        <f aca="false">IF($A540="","",$A540&amp;"-"&amp;$D540)</f>
        <v/>
      </c>
      <c r="F540" s="28" t="str">
        <f aca="false">IF($A540="","",IF('3-Turizm İşletmeciliği'!D137="","",'3-Turizm İşletmeciliği'!D137))</f>
        <v/>
      </c>
      <c r="G540" s="28" t="str">
        <f aca="false">IF($A540="","",IF('3-Turizm İşletmeciliği'!E137="","",'3-Turizm İşletmeciliği'!E137))</f>
        <v/>
      </c>
      <c r="H540" s="28" t="str">
        <f aca="false">IF($A540="","",IF('3-Turizm İşletmeciliği'!F137="","",'3-Turizm İşletmeciliği'!F137))</f>
        <v/>
      </c>
      <c r="I540" s="28" t="str">
        <f aca="false">IF($A540="","",IF('3-Turizm İşletmeciliği'!G137="","",'3-Turizm İşletmeciliği'!G137))</f>
        <v/>
      </c>
      <c r="J540" s="28" t="str">
        <f aca="false">IF($A540="","",IF('3-Turizm İşletmeciliği'!H137="","",'3-Turizm İşletmeciliği'!H137))</f>
        <v/>
      </c>
      <c r="K540" s="28" t="str">
        <f aca="false">IF($A540="","",IF('3-Turizm İşletmeciliği'!I137="","",'3-Turizm İşletmeciliği'!I137))</f>
        <v/>
      </c>
      <c r="L540" s="28" t="str">
        <f aca="false">IF($I540="","",MATCH($I540,{"08.00";"09.00";"10.00";"11.00";"12.00";"13.00";"14.00";"15.00";"16.00";"17.00"},0))</f>
        <v/>
      </c>
      <c r="M540" s="28" t="str">
        <f aca="false">IF(OR($L540="",$J540=""),"",$L540+$J540-1)</f>
        <v/>
      </c>
      <c r="N540" s="28" t="str">
        <f aca="false">IF($A540="","",IF(OR($L540="",$M540=""),"",IF($M540&gt;10,"⚠ Saat Taşıyor","")))</f>
        <v/>
      </c>
      <c r="O540" s="28" t="str">
        <f aca="false">IF($A540="","",IF(OR($G540="",$H540="",$L540=""),"",IF(SUMPRODUCT(($A$7:$A$606&lt;&gt;"")*($G$7:$G$606=$G540)*($H$7:$H$606=$H540)*(ROW($A$7:$A$606)&lt;&gt;540)*($L$7:$L$606&lt;=$M540)*($M$7:$M$606&gt;=$L540))&gt;0,"⚠ Çakışma","OK")))</f>
        <v/>
      </c>
      <c r="P540" s="28" t="str">
        <f aca="false">IF($A540="","",IF(OR($K540="",$H540="",$L540=""),"",IF(SUMPRODUCT(($A$7:$A$606&lt;&gt;"")*($K$7:$K$606=$K540)*($H$7:$H$606=$H540)*(ROW($A$7:$A$606)&lt;&gt;540)*($L$7:$L$606&lt;=$M540)*($M$7:$M$606&gt;=$L540))&gt;0,"⚠ Çakışma","OK")))</f>
        <v/>
      </c>
      <c r="Q540" s="28" t="str">
        <f aca="false">IF($A540="","",IF(OR($E540="",$H540="",$L540=""),"",IF(SUMPRODUCT(($A$7:$A$606&lt;&gt;"")*($E$7:$E$606=$E540)*($H$7:$H$606=$H540)*(ROW($A$7:$A$606)&lt;&gt;540)*($L$7:$L$606&lt;=$M540)*($M$7:$M$606&gt;=$L540))&gt;0,"⚠ Çakışma","OK")))</f>
        <v/>
      </c>
      <c r="R540" s="28" t="str">
        <f aca="false">IF($A540="","",IF(OR($N540&lt;&gt;"",$O540="⚠ Çakışma",$P540="⚠ Çakışma",$Q540="⚠ Çakışma"),"⚠ Kontrol Et","✓ Uygun"))</f>
        <v/>
      </c>
    </row>
    <row r="541" customFormat="false" ht="13.5" hidden="false" customHeight="true" outlineLevel="0" collapsed="false">
      <c r="A541" s="28" t="str">
        <f aca="false">IF('3-Turizm İşletmeciliği'!A138="","","Turizm İşletmeciliği")</f>
        <v/>
      </c>
      <c r="B541" s="28" t="str">
        <f aca="false">IF($A541="","",IF('3-Turizm İşletmeciliği'!A138="","",'3-Turizm İşletmeciliği'!A138))</f>
        <v/>
      </c>
      <c r="C541" s="29" t="str">
        <f aca="false">IF($A541="","",IF('3-Turizm İşletmeciliği'!B138="","",'3-Turizm İşletmeciliği'!B138))</f>
        <v/>
      </c>
      <c r="D541" s="28" t="str">
        <f aca="false">IF($A541="","",IF('3-Turizm İşletmeciliği'!C138="","",'3-Turizm İşletmeciliği'!C138))</f>
        <v/>
      </c>
      <c r="E541" s="28" t="str">
        <f aca="false">IF($A541="","",$A541&amp;"-"&amp;$D541)</f>
        <v/>
      </c>
      <c r="F541" s="28" t="str">
        <f aca="false">IF($A541="","",IF('3-Turizm İşletmeciliği'!D138="","",'3-Turizm İşletmeciliği'!D138))</f>
        <v/>
      </c>
      <c r="G541" s="28" t="str">
        <f aca="false">IF($A541="","",IF('3-Turizm İşletmeciliği'!E138="","",'3-Turizm İşletmeciliği'!E138))</f>
        <v/>
      </c>
      <c r="H541" s="28" t="str">
        <f aca="false">IF($A541="","",IF('3-Turizm İşletmeciliği'!F138="","",'3-Turizm İşletmeciliği'!F138))</f>
        <v/>
      </c>
      <c r="I541" s="28" t="str">
        <f aca="false">IF($A541="","",IF('3-Turizm İşletmeciliği'!G138="","",'3-Turizm İşletmeciliği'!G138))</f>
        <v/>
      </c>
      <c r="J541" s="28" t="str">
        <f aca="false">IF($A541="","",IF('3-Turizm İşletmeciliği'!H138="","",'3-Turizm İşletmeciliği'!H138))</f>
        <v/>
      </c>
      <c r="K541" s="28" t="str">
        <f aca="false">IF($A541="","",IF('3-Turizm İşletmeciliği'!I138="","",'3-Turizm İşletmeciliği'!I138))</f>
        <v/>
      </c>
      <c r="L541" s="28" t="str">
        <f aca="false">IF($I541="","",MATCH($I541,{"08.00";"09.00";"10.00";"11.00";"12.00";"13.00";"14.00";"15.00";"16.00";"17.00"},0))</f>
        <v/>
      </c>
      <c r="M541" s="28" t="str">
        <f aca="false">IF(OR($L541="",$J541=""),"",$L541+$J541-1)</f>
        <v/>
      </c>
      <c r="N541" s="28" t="str">
        <f aca="false">IF($A541="","",IF(OR($L541="",$M541=""),"",IF($M541&gt;10,"⚠ Saat Taşıyor","")))</f>
        <v/>
      </c>
      <c r="O541" s="28" t="str">
        <f aca="false">IF($A541="","",IF(OR($G541="",$H541="",$L541=""),"",IF(SUMPRODUCT(($A$7:$A$606&lt;&gt;"")*($G$7:$G$606=$G541)*($H$7:$H$606=$H541)*(ROW($A$7:$A$606)&lt;&gt;541)*($L$7:$L$606&lt;=$M541)*($M$7:$M$606&gt;=$L541))&gt;0,"⚠ Çakışma","OK")))</f>
        <v/>
      </c>
      <c r="P541" s="28" t="str">
        <f aca="false">IF($A541="","",IF(OR($K541="",$H541="",$L541=""),"",IF(SUMPRODUCT(($A$7:$A$606&lt;&gt;"")*($K$7:$K$606=$K541)*($H$7:$H$606=$H541)*(ROW($A$7:$A$606)&lt;&gt;541)*($L$7:$L$606&lt;=$M541)*($M$7:$M$606&gt;=$L541))&gt;0,"⚠ Çakışma","OK")))</f>
        <v/>
      </c>
      <c r="Q541" s="28" t="str">
        <f aca="false">IF($A541="","",IF(OR($E541="",$H541="",$L541=""),"",IF(SUMPRODUCT(($A$7:$A$606&lt;&gt;"")*($E$7:$E$606=$E541)*($H$7:$H$606=$H541)*(ROW($A$7:$A$606)&lt;&gt;541)*($L$7:$L$606&lt;=$M541)*($M$7:$M$606&gt;=$L541))&gt;0,"⚠ Çakışma","OK")))</f>
        <v/>
      </c>
      <c r="R541" s="28" t="str">
        <f aca="false">IF($A541="","",IF(OR($N541&lt;&gt;"",$O541="⚠ Çakışma",$P541="⚠ Çakışma",$Q541="⚠ Çakışma"),"⚠ Kontrol Et","✓ Uygun"))</f>
        <v/>
      </c>
    </row>
    <row r="542" customFormat="false" ht="13.5" hidden="false" customHeight="true" outlineLevel="0" collapsed="false">
      <c r="A542" s="28" t="str">
        <f aca="false">IF('3-Turizm İşletmeciliği'!A139="","","Turizm İşletmeciliği")</f>
        <v/>
      </c>
      <c r="B542" s="28" t="str">
        <f aca="false">IF($A542="","",IF('3-Turizm İşletmeciliği'!A139="","",'3-Turizm İşletmeciliği'!A139))</f>
        <v/>
      </c>
      <c r="C542" s="29" t="str">
        <f aca="false">IF($A542="","",IF('3-Turizm İşletmeciliği'!B139="","",'3-Turizm İşletmeciliği'!B139))</f>
        <v/>
      </c>
      <c r="D542" s="28" t="str">
        <f aca="false">IF($A542="","",IF('3-Turizm İşletmeciliği'!C139="","",'3-Turizm İşletmeciliği'!C139))</f>
        <v/>
      </c>
      <c r="E542" s="28" t="str">
        <f aca="false">IF($A542="","",$A542&amp;"-"&amp;$D542)</f>
        <v/>
      </c>
      <c r="F542" s="28" t="str">
        <f aca="false">IF($A542="","",IF('3-Turizm İşletmeciliği'!D139="","",'3-Turizm İşletmeciliği'!D139))</f>
        <v/>
      </c>
      <c r="G542" s="28" t="str">
        <f aca="false">IF($A542="","",IF('3-Turizm İşletmeciliği'!E139="","",'3-Turizm İşletmeciliği'!E139))</f>
        <v/>
      </c>
      <c r="H542" s="28" t="str">
        <f aca="false">IF($A542="","",IF('3-Turizm İşletmeciliği'!F139="","",'3-Turizm İşletmeciliği'!F139))</f>
        <v/>
      </c>
      <c r="I542" s="28" t="str">
        <f aca="false">IF($A542="","",IF('3-Turizm İşletmeciliği'!G139="","",'3-Turizm İşletmeciliği'!G139))</f>
        <v/>
      </c>
      <c r="J542" s="28" t="str">
        <f aca="false">IF($A542="","",IF('3-Turizm İşletmeciliği'!H139="","",'3-Turizm İşletmeciliği'!H139))</f>
        <v/>
      </c>
      <c r="K542" s="28" t="str">
        <f aca="false">IF($A542="","",IF('3-Turizm İşletmeciliği'!I139="","",'3-Turizm İşletmeciliği'!I139))</f>
        <v/>
      </c>
      <c r="L542" s="28" t="str">
        <f aca="false">IF($I542="","",MATCH($I542,{"08.00";"09.00";"10.00";"11.00";"12.00";"13.00";"14.00";"15.00";"16.00";"17.00"},0))</f>
        <v/>
      </c>
      <c r="M542" s="28" t="str">
        <f aca="false">IF(OR($L542="",$J542=""),"",$L542+$J542-1)</f>
        <v/>
      </c>
      <c r="N542" s="28" t="str">
        <f aca="false">IF($A542="","",IF(OR($L542="",$M542=""),"",IF($M542&gt;10,"⚠ Saat Taşıyor","")))</f>
        <v/>
      </c>
      <c r="O542" s="28" t="str">
        <f aca="false">IF($A542="","",IF(OR($G542="",$H542="",$L542=""),"",IF(SUMPRODUCT(($A$7:$A$606&lt;&gt;"")*($G$7:$G$606=$G542)*($H$7:$H$606=$H542)*(ROW($A$7:$A$606)&lt;&gt;542)*($L$7:$L$606&lt;=$M542)*($M$7:$M$606&gt;=$L542))&gt;0,"⚠ Çakışma","OK")))</f>
        <v/>
      </c>
      <c r="P542" s="28" t="str">
        <f aca="false">IF($A542="","",IF(OR($K542="",$H542="",$L542=""),"",IF(SUMPRODUCT(($A$7:$A$606&lt;&gt;"")*($K$7:$K$606=$K542)*($H$7:$H$606=$H542)*(ROW($A$7:$A$606)&lt;&gt;542)*($L$7:$L$606&lt;=$M542)*($M$7:$M$606&gt;=$L542))&gt;0,"⚠ Çakışma","OK")))</f>
        <v/>
      </c>
      <c r="Q542" s="28" t="str">
        <f aca="false">IF($A542="","",IF(OR($E542="",$H542="",$L542=""),"",IF(SUMPRODUCT(($A$7:$A$606&lt;&gt;"")*($E$7:$E$606=$E542)*($H$7:$H$606=$H542)*(ROW($A$7:$A$606)&lt;&gt;542)*($L$7:$L$606&lt;=$M542)*($M$7:$M$606&gt;=$L542))&gt;0,"⚠ Çakışma","OK")))</f>
        <v/>
      </c>
      <c r="R542" s="28" t="str">
        <f aca="false">IF($A542="","",IF(OR($N542&lt;&gt;"",$O542="⚠ Çakışma",$P542="⚠ Çakışma",$Q542="⚠ Çakışma"),"⚠ Kontrol Et","✓ Uygun"))</f>
        <v/>
      </c>
    </row>
    <row r="543" customFormat="false" ht="13.5" hidden="false" customHeight="true" outlineLevel="0" collapsed="false">
      <c r="A543" s="28" t="str">
        <f aca="false">IF('3-Turizm İşletmeciliği'!A140="","","Turizm İşletmeciliği")</f>
        <v/>
      </c>
      <c r="B543" s="28" t="str">
        <f aca="false">IF($A543="","",IF('3-Turizm İşletmeciliği'!A140="","",'3-Turizm İşletmeciliği'!A140))</f>
        <v/>
      </c>
      <c r="C543" s="29" t="str">
        <f aca="false">IF($A543="","",IF('3-Turizm İşletmeciliği'!B140="","",'3-Turizm İşletmeciliği'!B140))</f>
        <v/>
      </c>
      <c r="D543" s="28" t="str">
        <f aca="false">IF($A543="","",IF('3-Turizm İşletmeciliği'!C140="","",'3-Turizm İşletmeciliği'!C140))</f>
        <v/>
      </c>
      <c r="E543" s="28" t="str">
        <f aca="false">IF($A543="","",$A543&amp;"-"&amp;$D543)</f>
        <v/>
      </c>
      <c r="F543" s="28" t="str">
        <f aca="false">IF($A543="","",IF('3-Turizm İşletmeciliği'!D140="","",'3-Turizm İşletmeciliği'!D140))</f>
        <v/>
      </c>
      <c r="G543" s="28" t="str">
        <f aca="false">IF($A543="","",IF('3-Turizm İşletmeciliği'!E140="","",'3-Turizm İşletmeciliği'!E140))</f>
        <v/>
      </c>
      <c r="H543" s="28" t="str">
        <f aca="false">IF($A543="","",IF('3-Turizm İşletmeciliği'!F140="","",'3-Turizm İşletmeciliği'!F140))</f>
        <v/>
      </c>
      <c r="I543" s="28" t="str">
        <f aca="false">IF($A543="","",IF('3-Turizm İşletmeciliği'!G140="","",'3-Turizm İşletmeciliği'!G140))</f>
        <v/>
      </c>
      <c r="J543" s="28" t="str">
        <f aca="false">IF($A543="","",IF('3-Turizm İşletmeciliği'!H140="","",'3-Turizm İşletmeciliği'!H140))</f>
        <v/>
      </c>
      <c r="K543" s="28" t="str">
        <f aca="false">IF($A543="","",IF('3-Turizm İşletmeciliği'!I140="","",'3-Turizm İşletmeciliği'!I140))</f>
        <v/>
      </c>
      <c r="L543" s="28" t="str">
        <f aca="false">IF($I543="","",MATCH($I543,{"08.00";"09.00";"10.00";"11.00";"12.00";"13.00";"14.00";"15.00";"16.00";"17.00"},0))</f>
        <v/>
      </c>
      <c r="M543" s="28" t="str">
        <f aca="false">IF(OR($L543="",$J543=""),"",$L543+$J543-1)</f>
        <v/>
      </c>
      <c r="N543" s="28" t="str">
        <f aca="false">IF($A543="","",IF(OR($L543="",$M543=""),"",IF($M543&gt;10,"⚠ Saat Taşıyor","")))</f>
        <v/>
      </c>
      <c r="O543" s="28" t="str">
        <f aca="false">IF($A543="","",IF(OR($G543="",$H543="",$L543=""),"",IF(SUMPRODUCT(($A$7:$A$606&lt;&gt;"")*($G$7:$G$606=$G543)*($H$7:$H$606=$H543)*(ROW($A$7:$A$606)&lt;&gt;543)*($L$7:$L$606&lt;=$M543)*($M$7:$M$606&gt;=$L543))&gt;0,"⚠ Çakışma","OK")))</f>
        <v/>
      </c>
      <c r="P543" s="28" t="str">
        <f aca="false">IF($A543="","",IF(OR($K543="",$H543="",$L543=""),"",IF(SUMPRODUCT(($A$7:$A$606&lt;&gt;"")*($K$7:$K$606=$K543)*($H$7:$H$606=$H543)*(ROW($A$7:$A$606)&lt;&gt;543)*($L$7:$L$606&lt;=$M543)*($M$7:$M$606&gt;=$L543))&gt;0,"⚠ Çakışma","OK")))</f>
        <v/>
      </c>
      <c r="Q543" s="28" t="str">
        <f aca="false">IF($A543="","",IF(OR($E543="",$H543="",$L543=""),"",IF(SUMPRODUCT(($A$7:$A$606&lt;&gt;"")*($E$7:$E$606=$E543)*($H$7:$H$606=$H543)*(ROW($A$7:$A$606)&lt;&gt;543)*($L$7:$L$606&lt;=$M543)*($M$7:$M$606&gt;=$L543))&gt;0,"⚠ Çakışma","OK")))</f>
        <v/>
      </c>
      <c r="R543" s="28" t="str">
        <f aca="false">IF($A543="","",IF(OR($N543&lt;&gt;"",$O543="⚠ Çakışma",$P543="⚠ Çakışma",$Q543="⚠ Çakışma"),"⚠ Kontrol Et","✓ Uygun"))</f>
        <v/>
      </c>
    </row>
    <row r="544" customFormat="false" ht="13.5" hidden="false" customHeight="true" outlineLevel="0" collapsed="false">
      <c r="A544" s="28" t="str">
        <f aca="false">IF('3-Turizm İşletmeciliği'!A141="","","Turizm İşletmeciliği")</f>
        <v/>
      </c>
      <c r="B544" s="28" t="str">
        <f aca="false">IF($A544="","",IF('3-Turizm İşletmeciliği'!A141="","",'3-Turizm İşletmeciliği'!A141))</f>
        <v/>
      </c>
      <c r="C544" s="29" t="str">
        <f aca="false">IF($A544="","",IF('3-Turizm İşletmeciliği'!B141="","",'3-Turizm İşletmeciliği'!B141))</f>
        <v/>
      </c>
      <c r="D544" s="28" t="str">
        <f aca="false">IF($A544="","",IF('3-Turizm İşletmeciliği'!C141="","",'3-Turizm İşletmeciliği'!C141))</f>
        <v/>
      </c>
      <c r="E544" s="28" t="str">
        <f aca="false">IF($A544="","",$A544&amp;"-"&amp;$D544)</f>
        <v/>
      </c>
      <c r="F544" s="28" t="str">
        <f aca="false">IF($A544="","",IF('3-Turizm İşletmeciliği'!D141="","",'3-Turizm İşletmeciliği'!D141))</f>
        <v/>
      </c>
      <c r="G544" s="28" t="str">
        <f aca="false">IF($A544="","",IF('3-Turizm İşletmeciliği'!E141="","",'3-Turizm İşletmeciliği'!E141))</f>
        <v/>
      </c>
      <c r="H544" s="28" t="str">
        <f aca="false">IF($A544="","",IF('3-Turizm İşletmeciliği'!F141="","",'3-Turizm İşletmeciliği'!F141))</f>
        <v/>
      </c>
      <c r="I544" s="28" t="str">
        <f aca="false">IF($A544="","",IF('3-Turizm İşletmeciliği'!G141="","",'3-Turizm İşletmeciliği'!G141))</f>
        <v/>
      </c>
      <c r="J544" s="28" t="str">
        <f aca="false">IF($A544="","",IF('3-Turizm İşletmeciliği'!H141="","",'3-Turizm İşletmeciliği'!H141))</f>
        <v/>
      </c>
      <c r="K544" s="28" t="str">
        <f aca="false">IF($A544="","",IF('3-Turizm İşletmeciliği'!I141="","",'3-Turizm İşletmeciliği'!I141))</f>
        <v/>
      </c>
      <c r="L544" s="28" t="str">
        <f aca="false">IF($I544="","",MATCH($I544,{"08.00";"09.00";"10.00";"11.00";"12.00";"13.00";"14.00";"15.00";"16.00";"17.00"},0))</f>
        <v/>
      </c>
      <c r="M544" s="28" t="str">
        <f aca="false">IF(OR($L544="",$J544=""),"",$L544+$J544-1)</f>
        <v/>
      </c>
      <c r="N544" s="28" t="str">
        <f aca="false">IF($A544="","",IF(OR($L544="",$M544=""),"",IF($M544&gt;10,"⚠ Saat Taşıyor","")))</f>
        <v/>
      </c>
      <c r="O544" s="28" t="str">
        <f aca="false">IF($A544="","",IF(OR($G544="",$H544="",$L544=""),"",IF(SUMPRODUCT(($A$7:$A$606&lt;&gt;"")*($G$7:$G$606=$G544)*($H$7:$H$606=$H544)*(ROW($A$7:$A$606)&lt;&gt;544)*($L$7:$L$606&lt;=$M544)*($M$7:$M$606&gt;=$L544))&gt;0,"⚠ Çakışma","OK")))</f>
        <v/>
      </c>
      <c r="P544" s="28" t="str">
        <f aca="false">IF($A544="","",IF(OR($K544="",$H544="",$L544=""),"",IF(SUMPRODUCT(($A$7:$A$606&lt;&gt;"")*($K$7:$K$606=$K544)*($H$7:$H$606=$H544)*(ROW($A$7:$A$606)&lt;&gt;544)*($L$7:$L$606&lt;=$M544)*($M$7:$M$606&gt;=$L544))&gt;0,"⚠ Çakışma","OK")))</f>
        <v/>
      </c>
      <c r="Q544" s="28" t="str">
        <f aca="false">IF($A544="","",IF(OR($E544="",$H544="",$L544=""),"",IF(SUMPRODUCT(($A$7:$A$606&lt;&gt;"")*($E$7:$E$606=$E544)*($H$7:$H$606=$H544)*(ROW($A$7:$A$606)&lt;&gt;544)*($L$7:$L$606&lt;=$M544)*($M$7:$M$606&gt;=$L544))&gt;0,"⚠ Çakışma","OK")))</f>
        <v/>
      </c>
      <c r="R544" s="28" t="str">
        <f aca="false">IF($A544="","",IF(OR($N544&lt;&gt;"",$O544="⚠ Çakışma",$P544="⚠ Çakışma",$Q544="⚠ Çakışma"),"⚠ Kontrol Et","✓ Uygun"))</f>
        <v/>
      </c>
    </row>
    <row r="545" customFormat="false" ht="13.5" hidden="false" customHeight="true" outlineLevel="0" collapsed="false">
      <c r="A545" s="28" t="str">
        <f aca="false">IF('3-Turizm İşletmeciliği'!A142="","","Turizm İşletmeciliği")</f>
        <v/>
      </c>
      <c r="B545" s="28" t="str">
        <f aca="false">IF($A545="","",IF('3-Turizm İşletmeciliği'!A142="","",'3-Turizm İşletmeciliği'!A142))</f>
        <v/>
      </c>
      <c r="C545" s="29" t="str">
        <f aca="false">IF($A545="","",IF('3-Turizm İşletmeciliği'!B142="","",'3-Turizm İşletmeciliği'!B142))</f>
        <v/>
      </c>
      <c r="D545" s="28" t="str">
        <f aca="false">IF($A545="","",IF('3-Turizm İşletmeciliği'!C142="","",'3-Turizm İşletmeciliği'!C142))</f>
        <v/>
      </c>
      <c r="E545" s="28" t="str">
        <f aca="false">IF($A545="","",$A545&amp;"-"&amp;$D545)</f>
        <v/>
      </c>
      <c r="F545" s="28" t="str">
        <f aca="false">IF($A545="","",IF('3-Turizm İşletmeciliği'!D142="","",'3-Turizm İşletmeciliği'!D142))</f>
        <v/>
      </c>
      <c r="G545" s="28" t="str">
        <f aca="false">IF($A545="","",IF('3-Turizm İşletmeciliği'!E142="","",'3-Turizm İşletmeciliği'!E142))</f>
        <v/>
      </c>
      <c r="H545" s="28" t="str">
        <f aca="false">IF($A545="","",IF('3-Turizm İşletmeciliği'!F142="","",'3-Turizm İşletmeciliği'!F142))</f>
        <v/>
      </c>
      <c r="I545" s="28" t="str">
        <f aca="false">IF($A545="","",IF('3-Turizm İşletmeciliği'!G142="","",'3-Turizm İşletmeciliği'!G142))</f>
        <v/>
      </c>
      <c r="J545" s="28" t="str">
        <f aca="false">IF($A545="","",IF('3-Turizm İşletmeciliği'!H142="","",'3-Turizm İşletmeciliği'!H142))</f>
        <v/>
      </c>
      <c r="K545" s="28" t="str">
        <f aca="false">IF($A545="","",IF('3-Turizm İşletmeciliği'!I142="","",'3-Turizm İşletmeciliği'!I142))</f>
        <v/>
      </c>
      <c r="L545" s="28" t="str">
        <f aca="false">IF($I545="","",MATCH($I545,{"08.00";"09.00";"10.00";"11.00";"12.00";"13.00";"14.00";"15.00";"16.00";"17.00"},0))</f>
        <v/>
      </c>
      <c r="M545" s="28" t="str">
        <f aca="false">IF(OR($L545="",$J545=""),"",$L545+$J545-1)</f>
        <v/>
      </c>
      <c r="N545" s="28" t="str">
        <f aca="false">IF($A545="","",IF(OR($L545="",$M545=""),"",IF($M545&gt;10,"⚠ Saat Taşıyor","")))</f>
        <v/>
      </c>
      <c r="O545" s="28" t="str">
        <f aca="false">IF($A545="","",IF(OR($G545="",$H545="",$L545=""),"",IF(SUMPRODUCT(($A$7:$A$606&lt;&gt;"")*($G$7:$G$606=$G545)*($H$7:$H$606=$H545)*(ROW($A$7:$A$606)&lt;&gt;545)*($L$7:$L$606&lt;=$M545)*($M$7:$M$606&gt;=$L545))&gt;0,"⚠ Çakışma","OK")))</f>
        <v/>
      </c>
      <c r="P545" s="28" t="str">
        <f aca="false">IF($A545="","",IF(OR($K545="",$H545="",$L545=""),"",IF(SUMPRODUCT(($A$7:$A$606&lt;&gt;"")*($K$7:$K$606=$K545)*($H$7:$H$606=$H545)*(ROW($A$7:$A$606)&lt;&gt;545)*($L$7:$L$606&lt;=$M545)*($M$7:$M$606&gt;=$L545))&gt;0,"⚠ Çakışma","OK")))</f>
        <v/>
      </c>
      <c r="Q545" s="28" t="str">
        <f aca="false">IF($A545="","",IF(OR($E545="",$H545="",$L545=""),"",IF(SUMPRODUCT(($A$7:$A$606&lt;&gt;"")*($E$7:$E$606=$E545)*($H$7:$H$606=$H545)*(ROW($A$7:$A$606)&lt;&gt;545)*($L$7:$L$606&lt;=$M545)*($M$7:$M$606&gt;=$L545))&gt;0,"⚠ Çakışma","OK")))</f>
        <v/>
      </c>
      <c r="R545" s="28" t="str">
        <f aca="false">IF($A545="","",IF(OR($N545&lt;&gt;"",$O545="⚠ Çakışma",$P545="⚠ Çakışma",$Q545="⚠ Çakışma"),"⚠ Kontrol Et","✓ Uygun"))</f>
        <v/>
      </c>
    </row>
    <row r="546" customFormat="false" ht="13.5" hidden="false" customHeight="true" outlineLevel="0" collapsed="false">
      <c r="A546" s="28" t="str">
        <f aca="false">IF('3-Turizm İşletmeciliği'!A143="","","Turizm İşletmeciliği")</f>
        <v/>
      </c>
      <c r="B546" s="28" t="str">
        <f aca="false">IF($A546="","",IF('3-Turizm İşletmeciliği'!A143="","",'3-Turizm İşletmeciliği'!A143))</f>
        <v/>
      </c>
      <c r="C546" s="29" t="str">
        <f aca="false">IF($A546="","",IF('3-Turizm İşletmeciliği'!B143="","",'3-Turizm İşletmeciliği'!B143))</f>
        <v/>
      </c>
      <c r="D546" s="28" t="str">
        <f aca="false">IF($A546="","",IF('3-Turizm İşletmeciliği'!C143="","",'3-Turizm İşletmeciliği'!C143))</f>
        <v/>
      </c>
      <c r="E546" s="28" t="str">
        <f aca="false">IF($A546="","",$A546&amp;"-"&amp;$D546)</f>
        <v/>
      </c>
      <c r="F546" s="28" t="str">
        <f aca="false">IF($A546="","",IF('3-Turizm İşletmeciliği'!D143="","",'3-Turizm İşletmeciliği'!D143))</f>
        <v/>
      </c>
      <c r="G546" s="28" t="str">
        <f aca="false">IF($A546="","",IF('3-Turizm İşletmeciliği'!E143="","",'3-Turizm İşletmeciliği'!E143))</f>
        <v/>
      </c>
      <c r="H546" s="28" t="str">
        <f aca="false">IF($A546="","",IF('3-Turizm İşletmeciliği'!F143="","",'3-Turizm İşletmeciliği'!F143))</f>
        <v/>
      </c>
      <c r="I546" s="28" t="str">
        <f aca="false">IF($A546="","",IF('3-Turizm İşletmeciliği'!G143="","",'3-Turizm İşletmeciliği'!G143))</f>
        <v/>
      </c>
      <c r="J546" s="28" t="str">
        <f aca="false">IF($A546="","",IF('3-Turizm İşletmeciliği'!H143="","",'3-Turizm İşletmeciliği'!H143))</f>
        <v/>
      </c>
      <c r="K546" s="28" t="str">
        <f aca="false">IF($A546="","",IF('3-Turizm İşletmeciliği'!I143="","",'3-Turizm İşletmeciliği'!I143))</f>
        <v/>
      </c>
      <c r="L546" s="28" t="str">
        <f aca="false">IF($I546="","",MATCH($I546,{"08.00";"09.00";"10.00";"11.00";"12.00";"13.00";"14.00";"15.00";"16.00";"17.00"},0))</f>
        <v/>
      </c>
      <c r="M546" s="28" t="str">
        <f aca="false">IF(OR($L546="",$J546=""),"",$L546+$J546-1)</f>
        <v/>
      </c>
      <c r="N546" s="28" t="str">
        <f aca="false">IF($A546="","",IF(OR($L546="",$M546=""),"",IF($M546&gt;10,"⚠ Saat Taşıyor","")))</f>
        <v/>
      </c>
      <c r="O546" s="28" t="str">
        <f aca="false">IF($A546="","",IF(OR($G546="",$H546="",$L546=""),"",IF(SUMPRODUCT(($A$7:$A$606&lt;&gt;"")*($G$7:$G$606=$G546)*($H$7:$H$606=$H546)*(ROW($A$7:$A$606)&lt;&gt;546)*($L$7:$L$606&lt;=$M546)*($M$7:$M$606&gt;=$L546))&gt;0,"⚠ Çakışma","OK")))</f>
        <v/>
      </c>
      <c r="P546" s="28" t="str">
        <f aca="false">IF($A546="","",IF(OR($K546="",$H546="",$L546=""),"",IF(SUMPRODUCT(($A$7:$A$606&lt;&gt;"")*($K$7:$K$606=$K546)*($H$7:$H$606=$H546)*(ROW($A$7:$A$606)&lt;&gt;546)*($L$7:$L$606&lt;=$M546)*($M$7:$M$606&gt;=$L546))&gt;0,"⚠ Çakışma","OK")))</f>
        <v/>
      </c>
      <c r="Q546" s="28" t="str">
        <f aca="false">IF($A546="","",IF(OR($E546="",$H546="",$L546=""),"",IF(SUMPRODUCT(($A$7:$A$606&lt;&gt;"")*($E$7:$E$606=$E546)*($H$7:$H$606=$H546)*(ROW($A$7:$A$606)&lt;&gt;546)*($L$7:$L$606&lt;=$M546)*($M$7:$M$606&gt;=$L546))&gt;0,"⚠ Çakışma","OK")))</f>
        <v/>
      </c>
      <c r="R546" s="28" t="str">
        <f aca="false">IF($A546="","",IF(OR($N546&lt;&gt;"",$O546="⚠ Çakışma",$P546="⚠ Çakışma",$Q546="⚠ Çakışma"),"⚠ Kontrol Et","✓ Uygun"))</f>
        <v/>
      </c>
    </row>
    <row r="547" customFormat="false" ht="13.5" hidden="false" customHeight="true" outlineLevel="0" collapsed="false">
      <c r="A547" s="28" t="str">
        <f aca="false">IF('3-Turizm İşletmeciliği'!A144="","","Turizm İşletmeciliği")</f>
        <v/>
      </c>
      <c r="B547" s="28" t="str">
        <f aca="false">IF($A547="","",IF('3-Turizm İşletmeciliği'!A144="","",'3-Turizm İşletmeciliği'!A144))</f>
        <v/>
      </c>
      <c r="C547" s="29" t="str">
        <f aca="false">IF($A547="","",IF('3-Turizm İşletmeciliği'!B144="","",'3-Turizm İşletmeciliği'!B144))</f>
        <v/>
      </c>
      <c r="D547" s="28" t="str">
        <f aca="false">IF($A547="","",IF('3-Turizm İşletmeciliği'!C144="","",'3-Turizm İşletmeciliği'!C144))</f>
        <v/>
      </c>
      <c r="E547" s="28" t="str">
        <f aca="false">IF($A547="","",$A547&amp;"-"&amp;$D547)</f>
        <v/>
      </c>
      <c r="F547" s="28" t="str">
        <f aca="false">IF($A547="","",IF('3-Turizm İşletmeciliği'!D144="","",'3-Turizm İşletmeciliği'!D144))</f>
        <v/>
      </c>
      <c r="G547" s="28" t="str">
        <f aca="false">IF($A547="","",IF('3-Turizm İşletmeciliği'!E144="","",'3-Turizm İşletmeciliği'!E144))</f>
        <v/>
      </c>
      <c r="H547" s="28" t="str">
        <f aca="false">IF($A547="","",IF('3-Turizm İşletmeciliği'!F144="","",'3-Turizm İşletmeciliği'!F144))</f>
        <v/>
      </c>
      <c r="I547" s="28" t="str">
        <f aca="false">IF($A547="","",IF('3-Turizm İşletmeciliği'!G144="","",'3-Turizm İşletmeciliği'!G144))</f>
        <v/>
      </c>
      <c r="J547" s="28" t="str">
        <f aca="false">IF($A547="","",IF('3-Turizm İşletmeciliği'!H144="","",'3-Turizm İşletmeciliği'!H144))</f>
        <v/>
      </c>
      <c r="K547" s="28" t="str">
        <f aca="false">IF($A547="","",IF('3-Turizm İşletmeciliği'!I144="","",'3-Turizm İşletmeciliği'!I144))</f>
        <v/>
      </c>
      <c r="L547" s="28" t="str">
        <f aca="false">IF($I547="","",MATCH($I547,{"08.00";"09.00";"10.00";"11.00";"12.00";"13.00";"14.00";"15.00";"16.00";"17.00"},0))</f>
        <v/>
      </c>
      <c r="M547" s="28" t="str">
        <f aca="false">IF(OR($L547="",$J547=""),"",$L547+$J547-1)</f>
        <v/>
      </c>
      <c r="N547" s="28" t="str">
        <f aca="false">IF($A547="","",IF(OR($L547="",$M547=""),"",IF($M547&gt;10,"⚠ Saat Taşıyor","")))</f>
        <v/>
      </c>
      <c r="O547" s="28" t="str">
        <f aca="false">IF($A547="","",IF(OR($G547="",$H547="",$L547=""),"",IF(SUMPRODUCT(($A$7:$A$606&lt;&gt;"")*($G$7:$G$606=$G547)*($H$7:$H$606=$H547)*(ROW($A$7:$A$606)&lt;&gt;547)*($L$7:$L$606&lt;=$M547)*($M$7:$M$606&gt;=$L547))&gt;0,"⚠ Çakışma","OK")))</f>
        <v/>
      </c>
      <c r="P547" s="28" t="str">
        <f aca="false">IF($A547="","",IF(OR($K547="",$H547="",$L547=""),"",IF(SUMPRODUCT(($A$7:$A$606&lt;&gt;"")*($K$7:$K$606=$K547)*($H$7:$H$606=$H547)*(ROW($A$7:$A$606)&lt;&gt;547)*($L$7:$L$606&lt;=$M547)*($M$7:$M$606&gt;=$L547))&gt;0,"⚠ Çakışma","OK")))</f>
        <v/>
      </c>
      <c r="Q547" s="28" t="str">
        <f aca="false">IF($A547="","",IF(OR($E547="",$H547="",$L547=""),"",IF(SUMPRODUCT(($A$7:$A$606&lt;&gt;"")*($E$7:$E$606=$E547)*($H$7:$H$606=$H547)*(ROW($A$7:$A$606)&lt;&gt;547)*($L$7:$L$606&lt;=$M547)*($M$7:$M$606&gt;=$L547))&gt;0,"⚠ Çakışma","OK")))</f>
        <v/>
      </c>
      <c r="R547" s="28" t="str">
        <f aca="false">IF($A547="","",IF(OR($N547&lt;&gt;"",$O547="⚠ Çakışma",$P547="⚠ Çakışma",$Q547="⚠ Çakışma"),"⚠ Kontrol Et","✓ Uygun"))</f>
        <v/>
      </c>
    </row>
    <row r="548" customFormat="false" ht="13.5" hidden="false" customHeight="true" outlineLevel="0" collapsed="false">
      <c r="A548" s="28" t="str">
        <f aca="false">IF('3-Turizm İşletmeciliği'!A145="","","Turizm İşletmeciliği")</f>
        <v/>
      </c>
      <c r="B548" s="28" t="str">
        <f aca="false">IF($A548="","",IF('3-Turizm İşletmeciliği'!A145="","",'3-Turizm İşletmeciliği'!A145))</f>
        <v/>
      </c>
      <c r="C548" s="29" t="str">
        <f aca="false">IF($A548="","",IF('3-Turizm İşletmeciliği'!B145="","",'3-Turizm İşletmeciliği'!B145))</f>
        <v/>
      </c>
      <c r="D548" s="28" t="str">
        <f aca="false">IF($A548="","",IF('3-Turizm İşletmeciliği'!C145="","",'3-Turizm İşletmeciliği'!C145))</f>
        <v/>
      </c>
      <c r="E548" s="28" t="str">
        <f aca="false">IF($A548="","",$A548&amp;"-"&amp;$D548)</f>
        <v/>
      </c>
      <c r="F548" s="28" t="str">
        <f aca="false">IF($A548="","",IF('3-Turizm İşletmeciliği'!D145="","",'3-Turizm İşletmeciliği'!D145))</f>
        <v/>
      </c>
      <c r="G548" s="28" t="str">
        <f aca="false">IF($A548="","",IF('3-Turizm İşletmeciliği'!E145="","",'3-Turizm İşletmeciliği'!E145))</f>
        <v/>
      </c>
      <c r="H548" s="28" t="str">
        <f aca="false">IF($A548="","",IF('3-Turizm İşletmeciliği'!F145="","",'3-Turizm İşletmeciliği'!F145))</f>
        <v/>
      </c>
      <c r="I548" s="28" t="str">
        <f aca="false">IF($A548="","",IF('3-Turizm İşletmeciliği'!G145="","",'3-Turizm İşletmeciliği'!G145))</f>
        <v/>
      </c>
      <c r="J548" s="28" t="str">
        <f aca="false">IF($A548="","",IF('3-Turizm İşletmeciliği'!H145="","",'3-Turizm İşletmeciliği'!H145))</f>
        <v/>
      </c>
      <c r="K548" s="28" t="str">
        <f aca="false">IF($A548="","",IF('3-Turizm İşletmeciliği'!I145="","",'3-Turizm İşletmeciliği'!I145))</f>
        <v/>
      </c>
      <c r="L548" s="28" t="str">
        <f aca="false">IF($I548="","",MATCH($I548,{"08.00";"09.00";"10.00";"11.00";"12.00";"13.00";"14.00";"15.00";"16.00";"17.00"},0))</f>
        <v/>
      </c>
      <c r="M548" s="28" t="str">
        <f aca="false">IF(OR($L548="",$J548=""),"",$L548+$J548-1)</f>
        <v/>
      </c>
      <c r="N548" s="28" t="str">
        <f aca="false">IF($A548="","",IF(OR($L548="",$M548=""),"",IF($M548&gt;10,"⚠ Saat Taşıyor","")))</f>
        <v/>
      </c>
      <c r="O548" s="28" t="str">
        <f aca="false">IF($A548="","",IF(OR($G548="",$H548="",$L548=""),"",IF(SUMPRODUCT(($A$7:$A$606&lt;&gt;"")*($G$7:$G$606=$G548)*($H$7:$H$606=$H548)*(ROW($A$7:$A$606)&lt;&gt;548)*($L$7:$L$606&lt;=$M548)*($M$7:$M$606&gt;=$L548))&gt;0,"⚠ Çakışma","OK")))</f>
        <v/>
      </c>
      <c r="P548" s="28" t="str">
        <f aca="false">IF($A548="","",IF(OR($K548="",$H548="",$L548=""),"",IF(SUMPRODUCT(($A$7:$A$606&lt;&gt;"")*($K$7:$K$606=$K548)*($H$7:$H$606=$H548)*(ROW($A$7:$A$606)&lt;&gt;548)*($L$7:$L$606&lt;=$M548)*($M$7:$M$606&gt;=$L548))&gt;0,"⚠ Çakışma","OK")))</f>
        <v/>
      </c>
      <c r="Q548" s="28" t="str">
        <f aca="false">IF($A548="","",IF(OR($E548="",$H548="",$L548=""),"",IF(SUMPRODUCT(($A$7:$A$606&lt;&gt;"")*($E$7:$E$606=$E548)*($H$7:$H$606=$H548)*(ROW($A$7:$A$606)&lt;&gt;548)*($L$7:$L$606&lt;=$M548)*($M$7:$M$606&gt;=$L548))&gt;0,"⚠ Çakışma","OK")))</f>
        <v/>
      </c>
      <c r="R548" s="28" t="str">
        <f aca="false">IF($A548="","",IF(OR($N548&lt;&gt;"",$O548="⚠ Çakışma",$P548="⚠ Çakışma",$Q548="⚠ Çakışma"),"⚠ Kontrol Et","✓ Uygun"))</f>
        <v/>
      </c>
    </row>
    <row r="549" customFormat="false" ht="13.5" hidden="false" customHeight="true" outlineLevel="0" collapsed="false">
      <c r="A549" s="28" t="str">
        <f aca="false">IF('3-Turizm İşletmeciliği'!A146="","","Turizm İşletmeciliği")</f>
        <v/>
      </c>
      <c r="B549" s="28" t="str">
        <f aca="false">IF($A549="","",IF('3-Turizm İşletmeciliği'!A146="","",'3-Turizm İşletmeciliği'!A146))</f>
        <v/>
      </c>
      <c r="C549" s="29" t="str">
        <f aca="false">IF($A549="","",IF('3-Turizm İşletmeciliği'!B146="","",'3-Turizm İşletmeciliği'!B146))</f>
        <v/>
      </c>
      <c r="D549" s="28" t="str">
        <f aca="false">IF($A549="","",IF('3-Turizm İşletmeciliği'!C146="","",'3-Turizm İşletmeciliği'!C146))</f>
        <v/>
      </c>
      <c r="E549" s="28" t="str">
        <f aca="false">IF($A549="","",$A549&amp;"-"&amp;$D549)</f>
        <v/>
      </c>
      <c r="F549" s="28" t="str">
        <f aca="false">IF($A549="","",IF('3-Turizm İşletmeciliği'!D146="","",'3-Turizm İşletmeciliği'!D146))</f>
        <v/>
      </c>
      <c r="G549" s="28" t="str">
        <f aca="false">IF($A549="","",IF('3-Turizm İşletmeciliği'!E146="","",'3-Turizm İşletmeciliği'!E146))</f>
        <v/>
      </c>
      <c r="H549" s="28" t="str">
        <f aca="false">IF($A549="","",IF('3-Turizm İşletmeciliği'!F146="","",'3-Turizm İşletmeciliği'!F146))</f>
        <v/>
      </c>
      <c r="I549" s="28" t="str">
        <f aca="false">IF($A549="","",IF('3-Turizm İşletmeciliği'!G146="","",'3-Turizm İşletmeciliği'!G146))</f>
        <v/>
      </c>
      <c r="J549" s="28" t="str">
        <f aca="false">IF($A549="","",IF('3-Turizm İşletmeciliği'!H146="","",'3-Turizm İşletmeciliği'!H146))</f>
        <v/>
      </c>
      <c r="K549" s="28" t="str">
        <f aca="false">IF($A549="","",IF('3-Turizm İşletmeciliği'!I146="","",'3-Turizm İşletmeciliği'!I146))</f>
        <v/>
      </c>
      <c r="L549" s="28" t="str">
        <f aca="false">IF($I549="","",MATCH($I549,{"08.00";"09.00";"10.00";"11.00";"12.00";"13.00";"14.00";"15.00";"16.00";"17.00"},0))</f>
        <v/>
      </c>
      <c r="M549" s="28" t="str">
        <f aca="false">IF(OR($L549="",$J549=""),"",$L549+$J549-1)</f>
        <v/>
      </c>
      <c r="N549" s="28" t="str">
        <f aca="false">IF($A549="","",IF(OR($L549="",$M549=""),"",IF($M549&gt;10,"⚠ Saat Taşıyor","")))</f>
        <v/>
      </c>
      <c r="O549" s="28" t="str">
        <f aca="false">IF($A549="","",IF(OR($G549="",$H549="",$L549=""),"",IF(SUMPRODUCT(($A$7:$A$606&lt;&gt;"")*($G$7:$G$606=$G549)*($H$7:$H$606=$H549)*(ROW($A$7:$A$606)&lt;&gt;549)*($L$7:$L$606&lt;=$M549)*($M$7:$M$606&gt;=$L549))&gt;0,"⚠ Çakışma","OK")))</f>
        <v/>
      </c>
      <c r="P549" s="28" t="str">
        <f aca="false">IF($A549="","",IF(OR($K549="",$H549="",$L549=""),"",IF(SUMPRODUCT(($A$7:$A$606&lt;&gt;"")*($K$7:$K$606=$K549)*($H$7:$H$606=$H549)*(ROW($A$7:$A$606)&lt;&gt;549)*($L$7:$L$606&lt;=$M549)*($M$7:$M$606&gt;=$L549))&gt;0,"⚠ Çakışma","OK")))</f>
        <v/>
      </c>
      <c r="Q549" s="28" t="str">
        <f aca="false">IF($A549="","",IF(OR($E549="",$H549="",$L549=""),"",IF(SUMPRODUCT(($A$7:$A$606&lt;&gt;"")*($E$7:$E$606=$E549)*($H$7:$H$606=$H549)*(ROW($A$7:$A$606)&lt;&gt;549)*($L$7:$L$606&lt;=$M549)*($M$7:$M$606&gt;=$L549))&gt;0,"⚠ Çakışma","OK")))</f>
        <v/>
      </c>
      <c r="R549" s="28" t="str">
        <f aca="false">IF($A549="","",IF(OR($N549&lt;&gt;"",$O549="⚠ Çakışma",$P549="⚠ Çakışma",$Q549="⚠ Çakışma"),"⚠ Kontrol Et","✓ Uygun"))</f>
        <v/>
      </c>
    </row>
    <row r="550" customFormat="false" ht="13.5" hidden="false" customHeight="true" outlineLevel="0" collapsed="false">
      <c r="A550" s="28" t="str">
        <f aca="false">IF('3-Turizm İşletmeciliği'!A147="","","Turizm İşletmeciliği")</f>
        <v/>
      </c>
      <c r="B550" s="28" t="str">
        <f aca="false">IF($A550="","",IF('3-Turizm İşletmeciliği'!A147="","",'3-Turizm İşletmeciliği'!A147))</f>
        <v/>
      </c>
      <c r="C550" s="29" t="str">
        <f aca="false">IF($A550="","",IF('3-Turizm İşletmeciliği'!B147="","",'3-Turizm İşletmeciliği'!B147))</f>
        <v/>
      </c>
      <c r="D550" s="28" t="str">
        <f aca="false">IF($A550="","",IF('3-Turizm İşletmeciliği'!C147="","",'3-Turizm İşletmeciliği'!C147))</f>
        <v/>
      </c>
      <c r="E550" s="28" t="str">
        <f aca="false">IF($A550="","",$A550&amp;"-"&amp;$D550)</f>
        <v/>
      </c>
      <c r="F550" s="28" t="str">
        <f aca="false">IF($A550="","",IF('3-Turizm İşletmeciliği'!D147="","",'3-Turizm İşletmeciliği'!D147))</f>
        <v/>
      </c>
      <c r="G550" s="28" t="str">
        <f aca="false">IF($A550="","",IF('3-Turizm İşletmeciliği'!E147="","",'3-Turizm İşletmeciliği'!E147))</f>
        <v/>
      </c>
      <c r="H550" s="28" t="str">
        <f aca="false">IF($A550="","",IF('3-Turizm İşletmeciliği'!F147="","",'3-Turizm İşletmeciliği'!F147))</f>
        <v/>
      </c>
      <c r="I550" s="28" t="str">
        <f aca="false">IF($A550="","",IF('3-Turizm İşletmeciliği'!G147="","",'3-Turizm İşletmeciliği'!G147))</f>
        <v/>
      </c>
      <c r="J550" s="28" t="str">
        <f aca="false">IF($A550="","",IF('3-Turizm İşletmeciliği'!H147="","",'3-Turizm İşletmeciliği'!H147))</f>
        <v/>
      </c>
      <c r="K550" s="28" t="str">
        <f aca="false">IF($A550="","",IF('3-Turizm İşletmeciliği'!I147="","",'3-Turizm İşletmeciliği'!I147))</f>
        <v/>
      </c>
      <c r="L550" s="28" t="str">
        <f aca="false">IF($I550="","",MATCH($I550,{"08.00";"09.00";"10.00";"11.00";"12.00";"13.00";"14.00";"15.00";"16.00";"17.00"},0))</f>
        <v/>
      </c>
      <c r="M550" s="28" t="str">
        <f aca="false">IF(OR($L550="",$J550=""),"",$L550+$J550-1)</f>
        <v/>
      </c>
      <c r="N550" s="28" t="str">
        <f aca="false">IF($A550="","",IF(OR($L550="",$M550=""),"",IF($M550&gt;10,"⚠ Saat Taşıyor","")))</f>
        <v/>
      </c>
      <c r="O550" s="28" t="str">
        <f aca="false">IF($A550="","",IF(OR($G550="",$H550="",$L550=""),"",IF(SUMPRODUCT(($A$7:$A$606&lt;&gt;"")*($G$7:$G$606=$G550)*($H$7:$H$606=$H550)*(ROW($A$7:$A$606)&lt;&gt;550)*($L$7:$L$606&lt;=$M550)*($M$7:$M$606&gt;=$L550))&gt;0,"⚠ Çakışma","OK")))</f>
        <v/>
      </c>
      <c r="P550" s="28" t="str">
        <f aca="false">IF($A550="","",IF(OR($K550="",$H550="",$L550=""),"",IF(SUMPRODUCT(($A$7:$A$606&lt;&gt;"")*($K$7:$K$606=$K550)*($H$7:$H$606=$H550)*(ROW($A$7:$A$606)&lt;&gt;550)*($L$7:$L$606&lt;=$M550)*($M$7:$M$606&gt;=$L550))&gt;0,"⚠ Çakışma","OK")))</f>
        <v/>
      </c>
      <c r="Q550" s="28" t="str">
        <f aca="false">IF($A550="","",IF(OR($E550="",$H550="",$L550=""),"",IF(SUMPRODUCT(($A$7:$A$606&lt;&gt;"")*($E$7:$E$606=$E550)*($H$7:$H$606=$H550)*(ROW($A$7:$A$606)&lt;&gt;550)*($L$7:$L$606&lt;=$M550)*($M$7:$M$606&gt;=$L550))&gt;0,"⚠ Çakışma","OK")))</f>
        <v/>
      </c>
      <c r="R550" s="28" t="str">
        <f aca="false">IF($A550="","",IF(OR($N550&lt;&gt;"",$O550="⚠ Çakışma",$P550="⚠ Çakışma",$Q550="⚠ Çakışma"),"⚠ Kontrol Et","✓ Uygun"))</f>
        <v/>
      </c>
    </row>
    <row r="551" customFormat="false" ht="13.5" hidden="false" customHeight="true" outlineLevel="0" collapsed="false">
      <c r="A551" s="28" t="str">
        <f aca="false">IF('3-Turizm İşletmeciliği'!A148="","","Turizm İşletmeciliği")</f>
        <v/>
      </c>
      <c r="B551" s="28" t="str">
        <f aca="false">IF($A551="","",IF('3-Turizm İşletmeciliği'!A148="","",'3-Turizm İşletmeciliği'!A148))</f>
        <v/>
      </c>
      <c r="C551" s="29" t="str">
        <f aca="false">IF($A551="","",IF('3-Turizm İşletmeciliği'!B148="","",'3-Turizm İşletmeciliği'!B148))</f>
        <v/>
      </c>
      <c r="D551" s="28" t="str">
        <f aca="false">IF($A551="","",IF('3-Turizm İşletmeciliği'!C148="","",'3-Turizm İşletmeciliği'!C148))</f>
        <v/>
      </c>
      <c r="E551" s="28" t="str">
        <f aca="false">IF($A551="","",$A551&amp;"-"&amp;$D551)</f>
        <v/>
      </c>
      <c r="F551" s="28" t="str">
        <f aca="false">IF($A551="","",IF('3-Turizm İşletmeciliği'!D148="","",'3-Turizm İşletmeciliği'!D148))</f>
        <v/>
      </c>
      <c r="G551" s="28" t="str">
        <f aca="false">IF($A551="","",IF('3-Turizm İşletmeciliği'!E148="","",'3-Turizm İşletmeciliği'!E148))</f>
        <v/>
      </c>
      <c r="H551" s="28" t="str">
        <f aca="false">IF($A551="","",IF('3-Turizm İşletmeciliği'!F148="","",'3-Turizm İşletmeciliği'!F148))</f>
        <v/>
      </c>
      <c r="I551" s="28" t="str">
        <f aca="false">IF($A551="","",IF('3-Turizm İşletmeciliği'!G148="","",'3-Turizm İşletmeciliği'!G148))</f>
        <v/>
      </c>
      <c r="J551" s="28" t="str">
        <f aca="false">IF($A551="","",IF('3-Turizm İşletmeciliği'!H148="","",'3-Turizm İşletmeciliği'!H148))</f>
        <v/>
      </c>
      <c r="K551" s="28" t="str">
        <f aca="false">IF($A551="","",IF('3-Turizm İşletmeciliği'!I148="","",'3-Turizm İşletmeciliği'!I148))</f>
        <v/>
      </c>
      <c r="L551" s="28" t="str">
        <f aca="false">IF($I551="","",MATCH($I551,{"08.00";"09.00";"10.00";"11.00";"12.00";"13.00";"14.00";"15.00";"16.00";"17.00"},0))</f>
        <v/>
      </c>
      <c r="M551" s="28" t="str">
        <f aca="false">IF(OR($L551="",$J551=""),"",$L551+$J551-1)</f>
        <v/>
      </c>
      <c r="N551" s="28" t="str">
        <f aca="false">IF($A551="","",IF(OR($L551="",$M551=""),"",IF($M551&gt;10,"⚠ Saat Taşıyor","")))</f>
        <v/>
      </c>
      <c r="O551" s="28" t="str">
        <f aca="false">IF($A551="","",IF(OR($G551="",$H551="",$L551=""),"",IF(SUMPRODUCT(($A$7:$A$606&lt;&gt;"")*($G$7:$G$606=$G551)*($H$7:$H$606=$H551)*(ROW($A$7:$A$606)&lt;&gt;551)*($L$7:$L$606&lt;=$M551)*($M$7:$M$606&gt;=$L551))&gt;0,"⚠ Çakışma","OK")))</f>
        <v/>
      </c>
      <c r="P551" s="28" t="str">
        <f aca="false">IF($A551="","",IF(OR($K551="",$H551="",$L551=""),"",IF(SUMPRODUCT(($A$7:$A$606&lt;&gt;"")*($K$7:$K$606=$K551)*($H$7:$H$606=$H551)*(ROW($A$7:$A$606)&lt;&gt;551)*($L$7:$L$606&lt;=$M551)*($M$7:$M$606&gt;=$L551))&gt;0,"⚠ Çakışma","OK")))</f>
        <v/>
      </c>
      <c r="Q551" s="28" t="str">
        <f aca="false">IF($A551="","",IF(OR($E551="",$H551="",$L551=""),"",IF(SUMPRODUCT(($A$7:$A$606&lt;&gt;"")*($E$7:$E$606=$E551)*($H$7:$H$606=$H551)*(ROW($A$7:$A$606)&lt;&gt;551)*($L$7:$L$606&lt;=$M551)*($M$7:$M$606&gt;=$L551))&gt;0,"⚠ Çakışma","OK")))</f>
        <v/>
      </c>
      <c r="R551" s="28" t="str">
        <f aca="false">IF($A551="","",IF(OR($N551&lt;&gt;"",$O551="⚠ Çakışma",$P551="⚠ Çakışma",$Q551="⚠ Çakışma"),"⚠ Kontrol Et","✓ Uygun"))</f>
        <v/>
      </c>
    </row>
    <row r="552" customFormat="false" ht="13.5" hidden="false" customHeight="true" outlineLevel="0" collapsed="false">
      <c r="A552" s="28" t="str">
        <f aca="false">IF('3-Turizm İşletmeciliği'!A149="","","Turizm İşletmeciliği")</f>
        <v/>
      </c>
      <c r="B552" s="28" t="str">
        <f aca="false">IF($A552="","",IF('3-Turizm İşletmeciliği'!A149="","",'3-Turizm İşletmeciliği'!A149))</f>
        <v/>
      </c>
      <c r="C552" s="29" t="str">
        <f aca="false">IF($A552="","",IF('3-Turizm İşletmeciliği'!B149="","",'3-Turizm İşletmeciliği'!B149))</f>
        <v/>
      </c>
      <c r="D552" s="28" t="str">
        <f aca="false">IF($A552="","",IF('3-Turizm İşletmeciliği'!C149="","",'3-Turizm İşletmeciliği'!C149))</f>
        <v/>
      </c>
      <c r="E552" s="28" t="str">
        <f aca="false">IF($A552="","",$A552&amp;"-"&amp;$D552)</f>
        <v/>
      </c>
      <c r="F552" s="28" t="str">
        <f aca="false">IF($A552="","",IF('3-Turizm İşletmeciliği'!D149="","",'3-Turizm İşletmeciliği'!D149))</f>
        <v/>
      </c>
      <c r="G552" s="28" t="str">
        <f aca="false">IF($A552="","",IF('3-Turizm İşletmeciliği'!E149="","",'3-Turizm İşletmeciliği'!E149))</f>
        <v/>
      </c>
      <c r="H552" s="28" t="str">
        <f aca="false">IF($A552="","",IF('3-Turizm İşletmeciliği'!F149="","",'3-Turizm İşletmeciliği'!F149))</f>
        <v/>
      </c>
      <c r="I552" s="28" t="str">
        <f aca="false">IF($A552="","",IF('3-Turizm İşletmeciliği'!G149="","",'3-Turizm İşletmeciliği'!G149))</f>
        <v/>
      </c>
      <c r="J552" s="28" t="str">
        <f aca="false">IF($A552="","",IF('3-Turizm İşletmeciliği'!H149="","",'3-Turizm İşletmeciliği'!H149))</f>
        <v/>
      </c>
      <c r="K552" s="28" t="str">
        <f aca="false">IF($A552="","",IF('3-Turizm İşletmeciliği'!I149="","",'3-Turizm İşletmeciliği'!I149))</f>
        <v/>
      </c>
      <c r="L552" s="28" t="str">
        <f aca="false">IF($I552="","",MATCH($I552,{"08.00";"09.00";"10.00";"11.00";"12.00";"13.00";"14.00";"15.00";"16.00";"17.00"},0))</f>
        <v/>
      </c>
      <c r="M552" s="28" t="str">
        <f aca="false">IF(OR($L552="",$J552=""),"",$L552+$J552-1)</f>
        <v/>
      </c>
      <c r="N552" s="28" t="str">
        <f aca="false">IF($A552="","",IF(OR($L552="",$M552=""),"",IF($M552&gt;10,"⚠ Saat Taşıyor","")))</f>
        <v/>
      </c>
      <c r="O552" s="28" t="str">
        <f aca="false">IF($A552="","",IF(OR($G552="",$H552="",$L552=""),"",IF(SUMPRODUCT(($A$7:$A$606&lt;&gt;"")*($G$7:$G$606=$G552)*($H$7:$H$606=$H552)*(ROW($A$7:$A$606)&lt;&gt;552)*($L$7:$L$606&lt;=$M552)*($M$7:$M$606&gt;=$L552))&gt;0,"⚠ Çakışma","OK")))</f>
        <v/>
      </c>
      <c r="P552" s="28" t="str">
        <f aca="false">IF($A552="","",IF(OR($K552="",$H552="",$L552=""),"",IF(SUMPRODUCT(($A$7:$A$606&lt;&gt;"")*($K$7:$K$606=$K552)*($H$7:$H$606=$H552)*(ROW($A$7:$A$606)&lt;&gt;552)*($L$7:$L$606&lt;=$M552)*($M$7:$M$606&gt;=$L552))&gt;0,"⚠ Çakışma","OK")))</f>
        <v/>
      </c>
      <c r="Q552" s="28" t="str">
        <f aca="false">IF($A552="","",IF(OR($E552="",$H552="",$L552=""),"",IF(SUMPRODUCT(($A$7:$A$606&lt;&gt;"")*($E$7:$E$606=$E552)*($H$7:$H$606=$H552)*(ROW($A$7:$A$606)&lt;&gt;552)*($L$7:$L$606&lt;=$M552)*($M$7:$M$606&gt;=$L552))&gt;0,"⚠ Çakışma","OK")))</f>
        <v/>
      </c>
      <c r="R552" s="28" t="str">
        <f aca="false">IF($A552="","",IF(OR($N552&lt;&gt;"",$O552="⚠ Çakışma",$P552="⚠ Çakışma",$Q552="⚠ Çakışma"),"⚠ Kontrol Et","✓ Uygun"))</f>
        <v/>
      </c>
    </row>
    <row r="553" customFormat="false" ht="13.5" hidden="false" customHeight="true" outlineLevel="0" collapsed="false">
      <c r="A553" s="28" t="str">
        <f aca="false">IF('3-Turizm İşletmeciliği'!A150="","","Turizm İşletmeciliği")</f>
        <v/>
      </c>
      <c r="B553" s="28" t="str">
        <f aca="false">IF($A553="","",IF('3-Turizm İşletmeciliği'!A150="","",'3-Turizm İşletmeciliği'!A150))</f>
        <v/>
      </c>
      <c r="C553" s="29" t="str">
        <f aca="false">IF($A553="","",IF('3-Turizm İşletmeciliği'!B150="","",'3-Turizm İşletmeciliği'!B150))</f>
        <v/>
      </c>
      <c r="D553" s="28" t="str">
        <f aca="false">IF($A553="","",IF('3-Turizm İşletmeciliği'!C150="","",'3-Turizm İşletmeciliği'!C150))</f>
        <v/>
      </c>
      <c r="E553" s="28" t="str">
        <f aca="false">IF($A553="","",$A553&amp;"-"&amp;$D553)</f>
        <v/>
      </c>
      <c r="F553" s="28" t="str">
        <f aca="false">IF($A553="","",IF('3-Turizm İşletmeciliği'!D150="","",'3-Turizm İşletmeciliği'!D150))</f>
        <v/>
      </c>
      <c r="G553" s="28" t="str">
        <f aca="false">IF($A553="","",IF('3-Turizm İşletmeciliği'!E150="","",'3-Turizm İşletmeciliği'!E150))</f>
        <v/>
      </c>
      <c r="H553" s="28" t="str">
        <f aca="false">IF($A553="","",IF('3-Turizm İşletmeciliği'!F150="","",'3-Turizm İşletmeciliği'!F150))</f>
        <v/>
      </c>
      <c r="I553" s="28" t="str">
        <f aca="false">IF($A553="","",IF('3-Turizm İşletmeciliği'!G150="","",'3-Turizm İşletmeciliği'!G150))</f>
        <v/>
      </c>
      <c r="J553" s="28" t="str">
        <f aca="false">IF($A553="","",IF('3-Turizm İşletmeciliği'!H150="","",'3-Turizm İşletmeciliği'!H150))</f>
        <v/>
      </c>
      <c r="K553" s="28" t="str">
        <f aca="false">IF($A553="","",IF('3-Turizm İşletmeciliği'!I150="","",'3-Turizm İşletmeciliği'!I150))</f>
        <v/>
      </c>
      <c r="L553" s="28" t="str">
        <f aca="false">IF($I553="","",MATCH($I553,{"08.00";"09.00";"10.00";"11.00";"12.00";"13.00";"14.00";"15.00";"16.00";"17.00"},0))</f>
        <v/>
      </c>
      <c r="M553" s="28" t="str">
        <f aca="false">IF(OR($L553="",$J553=""),"",$L553+$J553-1)</f>
        <v/>
      </c>
      <c r="N553" s="28" t="str">
        <f aca="false">IF($A553="","",IF(OR($L553="",$M553=""),"",IF($M553&gt;10,"⚠ Saat Taşıyor","")))</f>
        <v/>
      </c>
      <c r="O553" s="28" t="str">
        <f aca="false">IF($A553="","",IF(OR($G553="",$H553="",$L553=""),"",IF(SUMPRODUCT(($A$7:$A$606&lt;&gt;"")*($G$7:$G$606=$G553)*($H$7:$H$606=$H553)*(ROW($A$7:$A$606)&lt;&gt;553)*($L$7:$L$606&lt;=$M553)*($M$7:$M$606&gt;=$L553))&gt;0,"⚠ Çakışma","OK")))</f>
        <v/>
      </c>
      <c r="P553" s="28" t="str">
        <f aca="false">IF($A553="","",IF(OR($K553="",$H553="",$L553=""),"",IF(SUMPRODUCT(($A$7:$A$606&lt;&gt;"")*($K$7:$K$606=$K553)*($H$7:$H$606=$H553)*(ROW($A$7:$A$606)&lt;&gt;553)*($L$7:$L$606&lt;=$M553)*($M$7:$M$606&gt;=$L553))&gt;0,"⚠ Çakışma","OK")))</f>
        <v/>
      </c>
      <c r="Q553" s="28" t="str">
        <f aca="false">IF($A553="","",IF(OR($E553="",$H553="",$L553=""),"",IF(SUMPRODUCT(($A$7:$A$606&lt;&gt;"")*($E$7:$E$606=$E553)*($H$7:$H$606=$H553)*(ROW($A$7:$A$606)&lt;&gt;553)*($L$7:$L$606&lt;=$M553)*($M$7:$M$606&gt;=$L553))&gt;0,"⚠ Çakışma","OK")))</f>
        <v/>
      </c>
      <c r="R553" s="28" t="str">
        <f aca="false">IF($A553="","",IF(OR($N553&lt;&gt;"",$O553="⚠ Çakışma",$P553="⚠ Çakışma",$Q553="⚠ Çakışma"),"⚠ Kontrol Et","✓ Uygun"))</f>
        <v/>
      </c>
    </row>
    <row r="554" customFormat="false" ht="13.5" hidden="false" customHeight="true" outlineLevel="0" collapsed="false">
      <c r="A554" s="28" t="str">
        <f aca="false">IF('3-Turizm İşletmeciliği'!A151="","","Turizm İşletmeciliği")</f>
        <v/>
      </c>
      <c r="B554" s="28" t="str">
        <f aca="false">IF($A554="","",IF('3-Turizm İşletmeciliği'!A151="","",'3-Turizm İşletmeciliği'!A151))</f>
        <v/>
      </c>
      <c r="C554" s="29" t="str">
        <f aca="false">IF($A554="","",IF('3-Turizm İşletmeciliği'!B151="","",'3-Turizm İşletmeciliği'!B151))</f>
        <v/>
      </c>
      <c r="D554" s="28" t="str">
        <f aca="false">IF($A554="","",IF('3-Turizm İşletmeciliği'!C151="","",'3-Turizm İşletmeciliği'!C151))</f>
        <v/>
      </c>
      <c r="E554" s="28" t="str">
        <f aca="false">IF($A554="","",$A554&amp;"-"&amp;$D554)</f>
        <v/>
      </c>
      <c r="F554" s="28" t="str">
        <f aca="false">IF($A554="","",IF('3-Turizm İşletmeciliği'!D151="","",'3-Turizm İşletmeciliği'!D151))</f>
        <v/>
      </c>
      <c r="G554" s="28" t="str">
        <f aca="false">IF($A554="","",IF('3-Turizm İşletmeciliği'!E151="","",'3-Turizm İşletmeciliği'!E151))</f>
        <v/>
      </c>
      <c r="H554" s="28" t="str">
        <f aca="false">IF($A554="","",IF('3-Turizm İşletmeciliği'!F151="","",'3-Turizm İşletmeciliği'!F151))</f>
        <v/>
      </c>
      <c r="I554" s="28" t="str">
        <f aca="false">IF($A554="","",IF('3-Turizm İşletmeciliği'!G151="","",'3-Turizm İşletmeciliği'!G151))</f>
        <v/>
      </c>
      <c r="J554" s="28" t="str">
        <f aca="false">IF($A554="","",IF('3-Turizm İşletmeciliği'!H151="","",'3-Turizm İşletmeciliği'!H151))</f>
        <v/>
      </c>
      <c r="K554" s="28" t="str">
        <f aca="false">IF($A554="","",IF('3-Turizm İşletmeciliği'!I151="","",'3-Turizm İşletmeciliği'!I151))</f>
        <v/>
      </c>
      <c r="L554" s="28" t="str">
        <f aca="false">IF($I554="","",MATCH($I554,{"08.00";"09.00";"10.00";"11.00";"12.00";"13.00";"14.00";"15.00";"16.00";"17.00"},0))</f>
        <v/>
      </c>
      <c r="M554" s="28" t="str">
        <f aca="false">IF(OR($L554="",$J554=""),"",$L554+$J554-1)</f>
        <v/>
      </c>
      <c r="N554" s="28" t="str">
        <f aca="false">IF($A554="","",IF(OR($L554="",$M554=""),"",IF($M554&gt;10,"⚠ Saat Taşıyor","")))</f>
        <v/>
      </c>
      <c r="O554" s="28" t="str">
        <f aca="false">IF($A554="","",IF(OR($G554="",$H554="",$L554=""),"",IF(SUMPRODUCT(($A$7:$A$606&lt;&gt;"")*($G$7:$G$606=$G554)*($H$7:$H$606=$H554)*(ROW($A$7:$A$606)&lt;&gt;554)*($L$7:$L$606&lt;=$M554)*($M$7:$M$606&gt;=$L554))&gt;0,"⚠ Çakışma","OK")))</f>
        <v/>
      </c>
      <c r="P554" s="28" t="str">
        <f aca="false">IF($A554="","",IF(OR($K554="",$H554="",$L554=""),"",IF(SUMPRODUCT(($A$7:$A$606&lt;&gt;"")*($K$7:$K$606=$K554)*($H$7:$H$606=$H554)*(ROW($A$7:$A$606)&lt;&gt;554)*($L$7:$L$606&lt;=$M554)*($M$7:$M$606&gt;=$L554))&gt;0,"⚠ Çakışma","OK")))</f>
        <v/>
      </c>
      <c r="Q554" s="28" t="str">
        <f aca="false">IF($A554="","",IF(OR($E554="",$H554="",$L554=""),"",IF(SUMPRODUCT(($A$7:$A$606&lt;&gt;"")*($E$7:$E$606=$E554)*($H$7:$H$606=$H554)*(ROW($A$7:$A$606)&lt;&gt;554)*($L$7:$L$606&lt;=$M554)*($M$7:$M$606&gt;=$L554))&gt;0,"⚠ Çakışma","OK")))</f>
        <v/>
      </c>
      <c r="R554" s="28" t="str">
        <f aca="false">IF($A554="","",IF(OR($N554&lt;&gt;"",$O554="⚠ Çakışma",$P554="⚠ Çakışma",$Q554="⚠ Çakışma"),"⚠ Kontrol Et","✓ Uygun"))</f>
        <v/>
      </c>
    </row>
    <row r="555" customFormat="false" ht="13.5" hidden="false" customHeight="true" outlineLevel="0" collapsed="false">
      <c r="A555" s="28" t="str">
        <f aca="false">IF('3-Turizm İşletmeciliği'!A152="","","Turizm İşletmeciliği")</f>
        <v/>
      </c>
      <c r="B555" s="28" t="str">
        <f aca="false">IF($A555="","",IF('3-Turizm İşletmeciliği'!A152="","",'3-Turizm İşletmeciliği'!A152))</f>
        <v/>
      </c>
      <c r="C555" s="29" t="str">
        <f aca="false">IF($A555="","",IF('3-Turizm İşletmeciliği'!B152="","",'3-Turizm İşletmeciliği'!B152))</f>
        <v/>
      </c>
      <c r="D555" s="28" t="str">
        <f aca="false">IF($A555="","",IF('3-Turizm İşletmeciliği'!C152="","",'3-Turizm İşletmeciliği'!C152))</f>
        <v/>
      </c>
      <c r="E555" s="28" t="str">
        <f aca="false">IF($A555="","",$A555&amp;"-"&amp;$D555)</f>
        <v/>
      </c>
      <c r="F555" s="28" t="str">
        <f aca="false">IF($A555="","",IF('3-Turizm İşletmeciliği'!D152="","",'3-Turizm İşletmeciliği'!D152))</f>
        <v/>
      </c>
      <c r="G555" s="28" t="str">
        <f aca="false">IF($A555="","",IF('3-Turizm İşletmeciliği'!E152="","",'3-Turizm İşletmeciliği'!E152))</f>
        <v/>
      </c>
      <c r="H555" s="28" t="str">
        <f aca="false">IF($A555="","",IF('3-Turizm İşletmeciliği'!F152="","",'3-Turizm İşletmeciliği'!F152))</f>
        <v/>
      </c>
      <c r="I555" s="28" t="str">
        <f aca="false">IF($A555="","",IF('3-Turizm İşletmeciliği'!G152="","",'3-Turizm İşletmeciliği'!G152))</f>
        <v/>
      </c>
      <c r="J555" s="28" t="str">
        <f aca="false">IF($A555="","",IF('3-Turizm İşletmeciliği'!H152="","",'3-Turizm İşletmeciliği'!H152))</f>
        <v/>
      </c>
      <c r="K555" s="28" t="str">
        <f aca="false">IF($A555="","",IF('3-Turizm İşletmeciliği'!I152="","",'3-Turizm İşletmeciliği'!I152))</f>
        <v/>
      </c>
      <c r="L555" s="28" t="str">
        <f aca="false">IF($I555="","",MATCH($I555,{"08.00";"09.00";"10.00";"11.00";"12.00";"13.00";"14.00";"15.00";"16.00";"17.00"},0))</f>
        <v/>
      </c>
      <c r="M555" s="28" t="str">
        <f aca="false">IF(OR($L555="",$J555=""),"",$L555+$J555-1)</f>
        <v/>
      </c>
      <c r="N555" s="28" t="str">
        <f aca="false">IF($A555="","",IF(OR($L555="",$M555=""),"",IF($M555&gt;10,"⚠ Saat Taşıyor","")))</f>
        <v/>
      </c>
      <c r="O555" s="28" t="str">
        <f aca="false">IF($A555="","",IF(OR($G555="",$H555="",$L555=""),"",IF(SUMPRODUCT(($A$7:$A$606&lt;&gt;"")*($G$7:$G$606=$G555)*($H$7:$H$606=$H555)*(ROW($A$7:$A$606)&lt;&gt;555)*($L$7:$L$606&lt;=$M555)*($M$7:$M$606&gt;=$L555))&gt;0,"⚠ Çakışma","OK")))</f>
        <v/>
      </c>
      <c r="P555" s="28" t="str">
        <f aca="false">IF($A555="","",IF(OR($K555="",$H555="",$L555=""),"",IF(SUMPRODUCT(($A$7:$A$606&lt;&gt;"")*($K$7:$K$606=$K555)*($H$7:$H$606=$H555)*(ROW($A$7:$A$606)&lt;&gt;555)*($L$7:$L$606&lt;=$M555)*($M$7:$M$606&gt;=$L555))&gt;0,"⚠ Çakışma","OK")))</f>
        <v/>
      </c>
      <c r="Q555" s="28" t="str">
        <f aca="false">IF($A555="","",IF(OR($E555="",$H555="",$L555=""),"",IF(SUMPRODUCT(($A$7:$A$606&lt;&gt;"")*($E$7:$E$606=$E555)*($H$7:$H$606=$H555)*(ROW($A$7:$A$606)&lt;&gt;555)*($L$7:$L$606&lt;=$M555)*($M$7:$M$606&gt;=$L555))&gt;0,"⚠ Çakışma","OK")))</f>
        <v/>
      </c>
      <c r="R555" s="28" t="str">
        <f aca="false">IF($A555="","",IF(OR($N555&lt;&gt;"",$O555="⚠ Çakışma",$P555="⚠ Çakışma",$Q555="⚠ Çakışma"),"⚠ Kontrol Et","✓ Uygun"))</f>
        <v/>
      </c>
    </row>
    <row r="556" customFormat="false" ht="13.5" hidden="false" customHeight="true" outlineLevel="0" collapsed="false">
      <c r="A556" s="28" t="str">
        <f aca="false">IF('3-Turizm İşletmeciliği'!A153="","","Turizm İşletmeciliği")</f>
        <v/>
      </c>
      <c r="B556" s="28" t="str">
        <f aca="false">IF($A556="","",IF('3-Turizm İşletmeciliği'!A153="","",'3-Turizm İşletmeciliği'!A153))</f>
        <v/>
      </c>
      <c r="C556" s="29" t="str">
        <f aca="false">IF($A556="","",IF('3-Turizm İşletmeciliği'!B153="","",'3-Turizm İşletmeciliği'!B153))</f>
        <v/>
      </c>
      <c r="D556" s="28" t="str">
        <f aca="false">IF($A556="","",IF('3-Turizm İşletmeciliği'!C153="","",'3-Turizm İşletmeciliği'!C153))</f>
        <v/>
      </c>
      <c r="E556" s="28" t="str">
        <f aca="false">IF($A556="","",$A556&amp;"-"&amp;$D556)</f>
        <v/>
      </c>
      <c r="F556" s="28" t="str">
        <f aca="false">IF($A556="","",IF('3-Turizm İşletmeciliği'!D153="","",'3-Turizm İşletmeciliği'!D153))</f>
        <v/>
      </c>
      <c r="G556" s="28" t="str">
        <f aca="false">IF($A556="","",IF('3-Turizm İşletmeciliği'!E153="","",'3-Turizm İşletmeciliği'!E153))</f>
        <v/>
      </c>
      <c r="H556" s="28" t="str">
        <f aca="false">IF($A556="","",IF('3-Turizm İşletmeciliği'!F153="","",'3-Turizm İşletmeciliği'!F153))</f>
        <v/>
      </c>
      <c r="I556" s="28" t="str">
        <f aca="false">IF($A556="","",IF('3-Turizm İşletmeciliği'!G153="","",'3-Turizm İşletmeciliği'!G153))</f>
        <v/>
      </c>
      <c r="J556" s="28" t="str">
        <f aca="false">IF($A556="","",IF('3-Turizm İşletmeciliği'!H153="","",'3-Turizm İşletmeciliği'!H153))</f>
        <v/>
      </c>
      <c r="K556" s="28" t="str">
        <f aca="false">IF($A556="","",IF('3-Turizm İşletmeciliği'!I153="","",'3-Turizm İşletmeciliği'!I153))</f>
        <v/>
      </c>
      <c r="L556" s="28" t="str">
        <f aca="false">IF($I556="","",MATCH($I556,{"08.00";"09.00";"10.00";"11.00";"12.00";"13.00";"14.00";"15.00";"16.00";"17.00"},0))</f>
        <v/>
      </c>
      <c r="M556" s="28" t="str">
        <f aca="false">IF(OR($L556="",$J556=""),"",$L556+$J556-1)</f>
        <v/>
      </c>
      <c r="N556" s="28" t="str">
        <f aca="false">IF($A556="","",IF(OR($L556="",$M556=""),"",IF($M556&gt;10,"⚠ Saat Taşıyor","")))</f>
        <v/>
      </c>
      <c r="O556" s="28" t="str">
        <f aca="false">IF($A556="","",IF(OR($G556="",$H556="",$L556=""),"",IF(SUMPRODUCT(($A$7:$A$606&lt;&gt;"")*($G$7:$G$606=$G556)*($H$7:$H$606=$H556)*(ROW($A$7:$A$606)&lt;&gt;556)*($L$7:$L$606&lt;=$M556)*($M$7:$M$606&gt;=$L556))&gt;0,"⚠ Çakışma","OK")))</f>
        <v/>
      </c>
      <c r="P556" s="28" t="str">
        <f aca="false">IF($A556="","",IF(OR($K556="",$H556="",$L556=""),"",IF(SUMPRODUCT(($A$7:$A$606&lt;&gt;"")*($K$7:$K$606=$K556)*($H$7:$H$606=$H556)*(ROW($A$7:$A$606)&lt;&gt;556)*($L$7:$L$606&lt;=$M556)*($M$7:$M$606&gt;=$L556))&gt;0,"⚠ Çakışma","OK")))</f>
        <v/>
      </c>
      <c r="Q556" s="28" t="str">
        <f aca="false">IF($A556="","",IF(OR($E556="",$H556="",$L556=""),"",IF(SUMPRODUCT(($A$7:$A$606&lt;&gt;"")*($E$7:$E$606=$E556)*($H$7:$H$606=$H556)*(ROW($A$7:$A$606)&lt;&gt;556)*($L$7:$L$606&lt;=$M556)*($M$7:$M$606&gt;=$L556))&gt;0,"⚠ Çakışma","OK")))</f>
        <v/>
      </c>
      <c r="R556" s="28" t="str">
        <f aca="false">IF($A556="","",IF(OR($N556&lt;&gt;"",$O556="⚠ Çakışma",$P556="⚠ Çakışma",$Q556="⚠ Çakışma"),"⚠ Kontrol Et","✓ Uygun"))</f>
        <v/>
      </c>
    </row>
    <row r="557" customFormat="false" ht="13.5" hidden="false" customHeight="true" outlineLevel="0" collapsed="false">
      <c r="A557" s="28" t="str">
        <f aca="false">IF('3-Turizm İşletmeciliği'!A154="","","Turizm İşletmeciliği")</f>
        <v/>
      </c>
      <c r="B557" s="28" t="str">
        <f aca="false">IF($A557="","",IF('3-Turizm İşletmeciliği'!A154="","",'3-Turizm İşletmeciliği'!A154))</f>
        <v/>
      </c>
      <c r="C557" s="29" t="str">
        <f aca="false">IF($A557="","",IF('3-Turizm İşletmeciliği'!B154="","",'3-Turizm İşletmeciliği'!B154))</f>
        <v/>
      </c>
      <c r="D557" s="28" t="str">
        <f aca="false">IF($A557="","",IF('3-Turizm İşletmeciliği'!C154="","",'3-Turizm İşletmeciliği'!C154))</f>
        <v/>
      </c>
      <c r="E557" s="28" t="str">
        <f aca="false">IF($A557="","",$A557&amp;"-"&amp;$D557)</f>
        <v/>
      </c>
      <c r="F557" s="28" t="str">
        <f aca="false">IF($A557="","",IF('3-Turizm İşletmeciliği'!D154="","",'3-Turizm İşletmeciliği'!D154))</f>
        <v/>
      </c>
      <c r="G557" s="28" t="str">
        <f aca="false">IF($A557="","",IF('3-Turizm İşletmeciliği'!E154="","",'3-Turizm İşletmeciliği'!E154))</f>
        <v/>
      </c>
      <c r="H557" s="28" t="str">
        <f aca="false">IF($A557="","",IF('3-Turizm İşletmeciliği'!F154="","",'3-Turizm İşletmeciliği'!F154))</f>
        <v/>
      </c>
      <c r="I557" s="28" t="str">
        <f aca="false">IF($A557="","",IF('3-Turizm İşletmeciliği'!G154="","",'3-Turizm İşletmeciliği'!G154))</f>
        <v/>
      </c>
      <c r="J557" s="28" t="str">
        <f aca="false">IF($A557="","",IF('3-Turizm İşletmeciliği'!H154="","",'3-Turizm İşletmeciliği'!H154))</f>
        <v/>
      </c>
      <c r="K557" s="28" t="str">
        <f aca="false">IF($A557="","",IF('3-Turizm İşletmeciliği'!I154="","",'3-Turizm İşletmeciliği'!I154))</f>
        <v/>
      </c>
      <c r="L557" s="28" t="str">
        <f aca="false">IF($I557="","",MATCH($I557,{"08.00";"09.00";"10.00";"11.00";"12.00";"13.00";"14.00";"15.00";"16.00";"17.00"},0))</f>
        <v/>
      </c>
      <c r="M557" s="28" t="str">
        <f aca="false">IF(OR($L557="",$J557=""),"",$L557+$J557-1)</f>
        <v/>
      </c>
      <c r="N557" s="28" t="str">
        <f aca="false">IF($A557="","",IF(OR($L557="",$M557=""),"",IF($M557&gt;10,"⚠ Saat Taşıyor","")))</f>
        <v/>
      </c>
      <c r="O557" s="28" t="str">
        <f aca="false">IF($A557="","",IF(OR($G557="",$H557="",$L557=""),"",IF(SUMPRODUCT(($A$7:$A$606&lt;&gt;"")*($G$7:$G$606=$G557)*($H$7:$H$606=$H557)*(ROW($A$7:$A$606)&lt;&gt;557)*($L$7:$L$606&lt;=$M557)*($M$7:$M$606&gt;=$L557))&gt;0,"⚠ Çakışma","OK")))</f>
        <v/>
      </c>
      <c r="P557" s="28" t="str">
        <f aca="false">IF($A557="","",IF(OR($K557="",$H557="",$L557=""),"",IF(SUMPRODUCT(($A$7:$A$606&lt;&gt;"")*($K$7:$K$606=$K557)*($H$7:$H$606=$H557)*(ROW($A$7:$A$606)&lt;&gt;557)*($L$7:$L$606&lt;=$M557)*($M$7:$M$606&gt;=$L557))&gt;0,"⚠ Çakışma","OK")))</f>
        <v/>
      </c>
      <c r="Q557" s="28" t="str">
        <f aca="false">IF($A557="","",IF(OR($E557="",$H557="",$L557=""),"",IF(SUMPRODUCT(($A$7:$A$606&lt;&gt;"")*($E$7:$E$606=$E557)*($H$7:$H$606=$H557)*(ROW($A$7:$A$606)&lt;&gt;557)*($L$7:$L$606&lt;=$M557)*($M$7:$M$606&gt;=$L557))&gt;0,"⚠ Çakışma","OK")))</f>
        <v/>
      </c>
      <c r="R557" s="28" t="str">
        <f aca="false">IF($A557="","",IF(OR($N557&lt;&gt;"",$O557="⚠ Çakışma",$P557="⚠ Çakışma",$Q557="⚠ Çakışma"),"⚠ Kontrol Et","✓ Uygun"))</f>
        <v/>
      </c>
    </row>
    <row r="558" customFormat="false" ht="13.5" hidden="false" customHeight="true" outlineLevel="0" collapsed="false">
      <c r="A558" s="28" t="str">
        <f aca="false">IF('3-Turizm İşletmeciliği'!A155="","","Turizm İşletmeciliği")</f>
        <v/>
      </c>
      <c r="B558" s="28" t="str">
        <f aca="false">IF($A558="","",IF('3-Turizm İşletmeciliği'!A155="","",'3-Turizm İşletmeciliği'!A155))</f>
        <v/>
      </c>
      <c r="C558" s="29" t="str">
        <f aca="false">IF($A558="","",IF('3-Turizm İşletmeciliği'!B155="","",'3-Turizm İşletmeciliği'!B155))</f>
        <v/>
      </c>
      <c r="D558" s="28" t="str">
        <f aca="false">IF($A558="","",IF('3-Turizm İşletmeciliği'!C155="","",'3-Turizm İşletmeciliği'!C155))</f>
        <v/>
      </c>
      <c r="E558" s="28" t="str">
        <f aca="false">IF($A558="","",$A558&amp;"-"&amp;$D558)</f>
        <v/>
      </c>
      <c r="F558" s="28" t="str">
        <f aca="false">IF($A558="","",IF('3-Turizm İşletmeciliği'!D155="","",'3-Turizm İşletmeciliği'!D155))</f>
        <v/>
      </c>
      <c r="G558" s="28" t="str">
        <f aca="false">IF($A558="","",IF('3-Turizm İşletmeciliği'!E155="","",'3-Turizm İşletmeciliği'!E155))</f>
        <v/>
      </c>
      <c r="H558" s="28" t="str">
        <f aca="false">IF($A558="","",IF('3-Turizm İşletmeciliği'!F155="","",'3-Turizm İşletmeciliği'!F155))</f>
        <v/>
      </c>
      <c r="I558" s="28" t="str">
        <f aca="false">IF($A558="","",IF('3-Turizm İşletmeciliği'!G155="","",'3-Turizm İşletmeciliği'!G155))</f>
        <v/>
      </c>
      <c r="J558" s="28" t="str">
        <f aca="false">IF($A558="","",IF('3-Turizm İşletmeciliği'!H155="","",'3-Turizm İşletmeciliği'!H155))</f>
        <v/>
      </c>
      <c r="K558" s="28" t="str">
        <f aca="false">IF($A558="","",IF('3-Turizm İşletmeciliği'!I155="","",'3-Turizm İşletmeciliği'!I155))</f>
        <v/>
      </c>
      <c r="L558" s="28" t="str">
        <f aca="false">IF($I558="","",MATCH($I558,{"08.00";"09.00";"10.00";"11.00";"12.00";"13.00";"14.00";"15.00";"16.00";"17.00"},0))</f>
        <v/>
      </c>
      <c r="M558" s="28" t="str">
        <f aca="false">IF(OR($L558="",$J558=""),"",$L558+$J558-1)</f>
        <v/>
      </c>
      <c r="N558" s="28" t="str">
        <f aca="false">IF($A558="","",IF(OR($L558="",$M558=""),"",IF($M558&gt;10,"⚠ Saat Taşıyor","")))</f>
        <v/>
      </c>
      <c r="O558" s="28" t="str">
        <f aca="false">IF($A558="","",IF(OR($G558="",$H558="",$L558=""),"",IF(SUMPRODUCT(($A$7:$A$606&lt;&gt;"")*($G$7:$G$606=$G558)*($H$7:$H$606=$H558)*(ROW($A$7:$A$606)&lt;&gt;558)*($L$7:$L$606&lt;=$M558)*($M$7:$M$606&gt;=$L558))&gt;0,"⚠ Çakışma","OK")))</f>
        <v/>
      </c>
      <c r="P558" s="28" t="str">
        <f aca="false">IF($A558="","",IF(OR($K558="",$H558="",$L558=""),"",IF(SUMPRODUCT(($A$7:$A$606&lt;&gt;"")*($K$7:$K$606=$K558)*($H$7:$H$606=$H558)*(ROW($A$7:$A$606)&lt;&gt;558)*($L$7:$L$606&lt;=$M558)*($M$7:$M$606&gt;=$L558))&gt;0,"⚠ Çakışma","OK")))</f>
        <v/>
      </c>
      <c r="Q558" s="28" t="str">
        <f aca="false">IF($A558="","",IF(OR($E558="",$H558="",$L558=""),"",IF(SUMPRODUCT(($A$7:$A$606&lt;&gt;"")*($E$7:$E$606=$E558)*($H$7:$H$606=$H558)*(ROW($A$7:$A$606)&lt;&gt;558)*($L$7:$L$606&lt;=$M558)*($M$7:$M$606&gt;=$L558))&gt;0,"⚠ Çakışma","OK")))</f>
        <v/>
      </c>
      <c r="R558" s="28" t="str">
        <f aca="false">IF($A558="","",IF(OR($N558&lt;&gt;"",$O558="⚠ Çakışma",$P558="⚠ Çakışma",$Q558="⚠ Çakışma"),"⚠ Kontrol Et","✓ Uygun"))</f>
        <v/>
      </c>
    </row>
    <row r="559" customFormat="false" ht="13.5" hidden="false" customHeight="true" outlineLevel="0" collapsed="false">
      <c r="A559" s="28" t="str">
        <f aca="false">IF('3-Turizm İşletmeciliği'!A156="","","Turizm İşletmeciliği")</f>
        <v/>
      </c>
      <c r="B559" s="28" t="str">
        <f aca="false">IF($A559="","",IF('3-Turizm İşletmeciliği'!A156="","",'3-Turizm İşletmeciliği'!A156))</f>
        <v/>
      </c>
      <c r="C559" s="29" t="str">
        <f aca="false">IF($A559="","",IF('3-Turizm İşletmeciliği'!B156="","",'3-Turizm İşletmeciliği'!B156))</f>
        <v/>
      </c>
      <c r="D559" s="28" t="str">
        <f aca="false">IF($A559="","",IF('3-Turizm İşletmeciliği'!C156="","",'3-Turizm İşletmeciliği'!C156))</f>
        <v/>
      </c>
      <c r="E559" s="28" t="str">
        <f aca="false">IF($A559="","",$A559&amp;"-"&amp;$D559)</f>
        <v/>
      </c>
      <c r="F559" s="28" t="str">
        <f aca="false">IF($A559="","",IF('3-Turizm İşletmeciliği'!D156="","",'3-Turizm İşletmeciliği'!D156))</f>
        <v/>
      </c>
      <c r="G559" s="28" t="str">
        <f aca="false">IF($A559="","",IF('3-Turizm İşletmeciliği'!E156="","",'3-Turizm İşletmeciliği'!E156))</f>
        <v/>
      </c>
      <c r="H559" s="28" t="str">
        <f aca="false">IF($A559="","",IF('3-Turizm İşletmeciliği'!F156="","",'3-Turizm İşletmeciliği'!F156))</f>
        <v/>
      </c>
      <c r="I559" s="28" t="str">
        <f aca="false">IF($A559="","",IF('3-Turizm İşletmeciliği'!G156="","",'3-Turizm İşletmeciliği'!G156))</f>
        <v/>
      </c>
      <c r="J559" s="28" t="str">
        <f aca="false">IF($A559="","",IF('3-Turizm İşletmeciliği'!H156="","",'3-Turizm İşletmeciliği'!H156))</f>
        <v/>
      </c>
      <c r="K559" s="28" t="str">
        <f aca="false">IF($A559="","",IF('3-Turizm İşletmeciliği'!I156="","",'3-Turizm İşletmeciliği'!I156))</f>
        <v/>
      </c>
      <c r="L559" s="28" t="str">
        <f aca="false">IF($I559="","",MATCH($I559,{"08.00";"09.00";"10.00";"11.00";"12.00";"13.00";"14.00";"15.00";"16.00";"17.00"},0))</f>
        <v/>
      </c>
      <c r="M559" s="28" t="str">
        <f aca="false">IF(OR($L559="",$J559=""),"",$L559+$J559-1)</f>
        <v/>
      </c>
      <c r="N559" s="28" t="str">
        <f aca="false">IF($A559="","",IF(OR($L559="",$M559=""),"",IF($M559&gt;10,"⚠ Saat Taşıyor","")))</f>
        <v/>
      </c>
      <c r="O559" s="28" t="str">
        <f aca="false">IF($A559="","",IF(OR($G559="",$H559="",$L559=""),"",IF(SUMPRODUCT(($A$7:$A$606&lt;&gt;"")*($G$7:$G$606=$G559)*($H$7:$H$606=$H559)*(ROW($A$7:$A$606)&lt;&gt;559)*($L$7:$L$606&lt;=$M559)*($M$7:$M$606&gt;=$L559))&gt;0,"⚠ Çakışma","OK")))</f>
        <v/>
      </c>
      <c r="P559" s="28" t="str">
        <f aca="false">IF($A559="","",IF(OR($K559="",$H559="",$L559=""),"",IF(SUMPRODUCT(($A$7:$A$606&lt;&gt;"")*($K$7:$K$606=$K559)*($H$7:$H$606=$H559)*(ROW($A$7:$A$606)&lt;&gt;559)*($L$7:$L$606&lt;=$M559)*($M$7:$M$606&gt;=$L559))&gt;0,"⚠ Çakışma","OK")))</f>
        <v/>
      </c>
      <c r="Q559" s="28" t="str">
        <f aca="false">IF($A559="","",IF(OR($E559="",$H559="",$L559=""),"",IF(SUMPRODUCT(($A$7:$A$606&lt;&gt;"")*($E$7:$E$606=$E559)*($H$7:$H$606=$H559)*(ROW($A$7:$A$606)&lt;&gt;559)*($L$7:$L$606&lt;=$M559)*($M$7:$M$606&gt;=$L559))&gt;0,"⚠ Çakışma","OK")))</f>
        <v/>
      </c>
      <c r="R559" s="28" t="str">
        <f aca="false">IF($A559="","",IF(OR($N559&lt;&gt;"",$O559="⚠ Çakışma",$P559="⚠ Çakışma",$Q559="⚠ Çakışma"),"⚠ Kontrol Et","✓ Uygun"))</f>
        <v/>
      </c>
    </row>
    <row r="560" customFormat="false" ht="13.5" hidden="false" customHeight="true" outlineLevel="0" collapsed="false">
      <c r="A560" s="28" t="str">
        <f aca="false">IF('3-Turizm İşletmeciliği'!A157="","","Turizm İşletmeciliği")</f>
        <v/>
      </c>
      <c r="B560" s="28" t="str">
        <f aca="false">IF($A560="","",IF('3-Turizm İşletmeciliği'!A157="","",'3-Turizm İşletmeciliği'!A157))</f>
        <v/>
      </c>
      <c r="C560" s="29" t="str">
        <f aca="false">IF($A560="","",IF('3-Turizm İşletmeciliği'!B157="","",'3-Turizm İşletmeciliği'!B157))</f>
        <v/>
      </c>
      <c r="D560" s="28" t="str">
        <f aca="false">IF($A560="","",IF('3-Turizm İşletmeciliği'!C157="","",'3-Turizm İşletmeciliği'!C157))</f>
        <v/>
      </c>
      <c r="E560" s="28" t="str">
        <f aca="false">IF($A560="","",$A560&amp;"-"&amp;$D560)</f>
        <v/>
      </c>
      <c r="F560" s="28" t="str">
        <f aca="false">IF($A560="","",IF('3-Turizm İşletmeciliği'!D157="","",'3-Turizm İşletmeciliği'!D157))</f>
        <v/>
      </c>
      <c r="G560" s="28" t="str">
        <f aca="false">IF($A560="","",IF('3-Turizm İşletmeciliği'!E157="","",'3-Turizm İşletmeciliği'!E157))</f>
        <v/>
      </c>
      <c r="H560" s="28" t="str">
        <f aca="false">IF($A560="","",IF('3-Turizm İşletmeciliği'!F157="","",'3-Turizm İşletmeciliği'!F157))</f>
        <v/>
      </c>
      <c r="I560" s="28" t="str">
        <f aca="false">IF($A560="","",IF('3-Turizm İşletmeciliği'!G157="","",'3-Turizm İşletmeciliği'!G157))</f>
        <v/>
      </c>
      <c r="J560" s="28" t="str">
        <f aca="false">IF($A560="","",IF('3-Turizm İşletmeciliği'!H157="","",'3-Turizm İşletmeciliği'!H157))</f>
        <v/>
      </c>
      <c r="K560" s="28" t="str">
        <f aca="false">IF($A560="","",IF('3-Turizm İşletmeciliği'!I157="","",'3-Turizm İşletmeciliği'!I157))</f>
        <v/>
      </c>
      <c r="L560" s="28" t="str">
        <f aca="false">IF($I560="","",MATCH($I560,{"08.00";"09.00";"10.00";"11.00";"12.00";"13.00";"14.00";"15.00";"16.00";"17.00"},0))</f>
        <v/>
      </c>
      <c r="M560" s="28" t="str">
        <f aca="false">IF(OR($L560="",$J560=""),"",$L560+$J560-1)</f>
        <v/>
      </c>
      <c r="N560" s="28" t="str">
        <f aca="false">IF($A560="","",IF(OR($L560="",$M560=""),"",IF($M560&gt;10,"⚠ Saat Taşıyor","")))</f>
        <v/>
      </c>
      <c r="O560" s="28" t="str">
        <f aca="false">IF($A560="","",IF(OR($G560="",$H560="",$L560=""),"",IF(SUMPRODUCT(($A$7:$A$606&lt;&gt;"")*($G$7:$G$606=$G560)*($H$7:$H$606=$H560)*(ROW($A$7:$A$606)&lt;&gt;560)*($L$7:$L$606&lt;=$M560)*($M$7:$M$606&gt;=$L560))&gt;0,"⚠ Çakışma","OK")))</f>
        <v/>
      </c>
      <c r="P560" s="28" t="str">
        <f aca="false">IF($A560="","",IF(OR($K560="",$H560="",$L560=""),"",IF(SUMPRODUCT(($A$7:$A$606&lt;&gt;"")*($K$7:$K$606=$K560)*($H$7:$H$606=$H560)*(ROW($A$7:$A$606)&lt;&gt;560)*($L$7:$L$606&lt;=$M560)*($M$7:$M$606&gt;=$L560))&gt;0,"⚠ Çakışma","OK")))</f>
        <v/>
      </c>
      <c r="Q560" s="28" t="str">
        <f aca="false">IF($A560="","",IF(OR($E560="",$H560="",$L560=""),"",IF(SUMPRODUCT(($A$7:$A$606&lt;&gt;"")*($E$7:$E$606=$E560)*($H$7:$H$606=$H560)*(ROW($A$7:$A$606)&lt;&gt;560)*($L$7:$L$606&lt;=$M560)*($M$7:$M$606&gt;=$L560))&gt;0,"⚠ Çakışma","OK")))</f>
        <v/>
      </c>
      <c r="R560" s="28" t="str">
        <f aca="false">IF($A560="","",IF(OR($N560&lt;&gt;"",$O560="⚠ Çakışma",$P560="⚠ Çakışma",$Q560="⚠ Çakışma"),"⚠ Kontrol Et","✓ Uygun"))</f>
        <v/>
      </c>
    </row>
    <row r="561" customFormat="false" ht="13.5" hidden="false" customHeight="true" outlineLevel="0" collapsed="false">
      <c r="A561" s="28" t="str">
        <f aca="false">IF('3-Turizm İşletmeciliği'!A158="","","Turizm İşletmeciliği")</f>
        <v/>
      </c>
      <c r="B561" s="28" t="str">
        <f aca="false">IF($A561="","",IF('3-Turizm İşletmeciliği'!A158="","",'3-Turizm İşletmeciliği'!A158))</f>
        <v/>
      </c>
      <c r="C561" s="29" t="str">
        <f aca="false">IF($A561="","",IF('3-Turizm İşletmeciliği'!B158="","",'3-Turizm İşletmeciliği'!B158))</f>
        <v/>
      </c>
      <c r="D561" s="28" t="str">
        <f aca="false">IF($A561="","",IF('3-Turizm İşletmeciliği'!C158="","",'3-Turizm İşletmeciliği'!C158))</f>
        <v/>
      </c>
      <c r="E561" s="28" t="str">
        <f aca="false">IF($A561="","",$A561&amp;"-"&amp;$D561)</f>
        <v/>
      </c>
      <c r="F561" s="28" t="str">
        <f aca="false">IF($A561="","",IF('3-Turizm İşletmeciliği'!D158="","",'3-Turizm İşletmeciliği'!D158))</f>
        <v/>
      </c>
      <c r="G561" s="28" t="str">
        <f aca="false">IF($A561="","",IF('3-Turizm İşletmeciliği'!E158="","",'3-Turizm İşletmeciliği'!E158))</f>
        <v/>
      </c>
      <c r="H561" s="28" t="str">
        <f aca="false">IF($A561="","",IF('3-Turizm İşletmeciliği'!F158="","",'3-Turizm İşletmeciliği'!F158))</f>
        <v/>
      </c>
      <c r="I561" s="28" t="str">
        <f aca="false">IF($A561="","",IF('3-Turizm İşletmeciliği'!G158="","",'3-Turizm İşletmeciliği'!G158))</f>
        <v/>
      </c>
      <c r="J561" s="28" t="str">
        <f aca="false">IF($A561="","",IF('3-Turizm İşletmeciliği'!H158="","",'3-Turizm İşletmeciliği'!H158))</f>
        <v/>
      </c>
      <c r="K561" s="28" t="str">
        <f aca="false">IF($A561="","",IF('3-Turizm İşletmeciliği'!I158="","",'3-Turizm İşletmeciliği'!I158))</f>
        <v/>
      </c>
      <c r="L561" s="28" t="str">
        <f aca="false">IF($I561="","",MATCH($I561,{"08.00";"09.00";"10.00";"11.00";"12.00";"13.00";"14.00";"15.00";"16.00";"17.00"},0))</f>
        <v/>
      </c>
      <c r="M561" s="28" t="str">
        <f aca="false">IF(OR($L561="",$J561=""),"",$L561+$J561-1)</f>
        <v/>
      </c>
      <c r="N561" s="28" t="str">
        <f aca="false">IF($A561="","",IF(OR($L561="",$M561=""),"",IF($M561&gt;10,"⚠ Saat Taşıyor","")))</f>
        <v/>
      </c>
      <c r="O561" s="28" t="str">
        <f aca="false">IF($A561="","",IF(OR($G561="",$H561="",$L561=""),"",IF(SUMPRODUCT(($A$7:$A$606&lt;&gt;"")*($G$7:$G$606=$G561)*($H$7:$H$606=$H561)*(ROW($A$7:$A$606)&lt;&gt;561)*($L$7:$L$606&lt;=$M561)*($M$7:$M$606&gt;=$L561))&gt;0,"⚠ Çakışma","OK")))</f>
        <v/>
      </c>
      <c r="P561" s="28" t="str">
        <f aca="false">IF($A561="","",IF(OR($K561="",$H561="",$L561=""),"",IF(SUMPRODUCT(($A$7:$A$606&lt;&gt;"")*($K$7:$K$606=$K561)*($H$7:$H$606=$H561)*(ROW($A$7:$A$606)&lt;&gt;561)*($L$7:$L$606&lt;=$M561)*($M$7:$M$606&gt;=$L561))&gt;0,"⚠ Çakışma","OK")))</f>
        <v/>
      </c>
      <c r="Q561" s="28" t="str">
        <f aca="false">IF($A561="","",IF(OR($E561="",$H561="",$L561=""),"",IF(SUMPRODUCT(($A$7:$A$606&lt;&gt;"")*($E$7:$E$606=$E561)*($H$7:$H$606=$H561)*(ROW($A$7:$A$606)&lt;&gt;561)*($L$7:$L$606&lt;=$M561)*($M$7:$M$606&gt;=$L561))&gt;0,"⚠ Çakışma","OK")))</f>
        <v/>
      </c>
      <c r="R561" s="28" t="str">
        <f aca="false">IF($A561="","",IF(OR($N561&lt;&gt;"",$O561="⚠ Çakışma",$P561="⚠ Çakışma",$Q561="⚠ Çakışma"),"⚠ Kontrol Et","✓ Uygun"))</f>
        <v/>
      </c>
    </row>
    <row r="562" customFormat="false" ht="13.5" hidden="false" customHeight="true" outlineLevel="0" collapsed="false">
      <c r="A562" s="28" t="str">
        <f aca="false">IF('3-Turizm İşletmeciliği'!A159="","","Turizm İşletmeciliği")</f>
        <v/>
      </c>
      <c r="B562" s="28" t="str">
        <f aca="false">IF($A562="","",IF('3-Turizm İşletmeciliği'!A159="","",'3-Turizm İşletmeciliği'!A159))</f>
        <v/>
      </c>
      <c r="C562" s="29" t="str">
        <f aca="false">IF($A562="","",IF('3-Turizm İşletmeciliği'!B159="","",'3-Turizm İşletmeciliği'!B159))</f>
        <v/>
      </c>
      <c r="D562" s="28" t="str">
        <f aca="false">IF($A562="","",IF('3-Turizm İşletmeciliği'!C159="","",'3-Turizm İşletmeciliği'!C159))</f>
        <v/>
      </c>
      <c r="E562" s="28" t="str">
        <f aca="false">IF($A562="","",$A562&amp;"-"&amp;$D562)</f>
        <v/>
      </c>
      <c r="F562" s="28" t="str">
        <f aca="false">IF($A562="","",IF('3-Turizm İşletmeciliği'!D159="","",'3-Turizm İşletmeciliği'!D159))</f>
        <v/>
      </c>
      <c r="G562" s="28" t="str">
        <f aca="false">IF($A562="","",IF('3-Turizm İşletmeciliği'!E159="","",'3-Turizm İşletmeciliği'!E159))</f>
        <v/>
      </c>
      <c r="H562" s="28" t="str">
        <f aca="false">IF($A562="","",IF('3-Turizm İşletmeciliği'!F159="","",'3-Turizm İşletmeciliği'!F159))</f>
        <v/>
      </c>
      <c r="I562" s="28" t="str">
        <f aca="false">IF($A562="","",IF('3-Turizm İşletmeciliği'!G159="","",'3-Turizm İşletmeciliği'!G159))</f>
        <v/>
      </c>
      <c r="J562" s="28" t="str">
        <f aca="false">IF($A562="","",IF('3-Turizm İşletmeciliği'!H159="","",'3-Turizm İşletmeciliği'!H159))</f>
        <v/>
      </c>
      <c r="K562" s="28" t="str">
        <f aca="false">IF($A562="","",IF('3-Turizm İşletmeciliği'!I159="","",'3-Turizm İşletmeciliği'!I159))</f>
        <v/>
      </c>
      <c r="L562" s="28" t="str">
        <f aca="false">IF($I562="","",MATCH($I562,{"08.00";"09.00";"10.00";"11.00";"12.00";"13.00";"14.00";"15.00";"16.00";"17.00"},0))</f>
        <v/>
      </c>
      <c r="M562" s="28" t="str">
        <f aca="false">IF(OR($L562="",$J562=""),"",$L562+$J562-1)</f>
        <v/>
      </c>
      <c r="N562" s="28" t="str">
        <f aca="false">IF($A562="","",IF(OR($L562="",$M562=""),"",IF($M562&gt;10,"⚠ Saat Taşıyor","")))</f>
        <v/>
      </c>
      <c r="O562" s="28" t="str">
        <f aca="false">IF($A562="","",IF(OR($G562="",$H562="",$L562=""),"",IF(SUMPRODUCT(($A$7:$A$606&lt;&gt;"")*($G$7:$G$606=$G562)*($H$7:$H$606=$H562)*(ROW($A$7:$A$606)&lt;&gt;562)*($L$7:$L$606&lt;=$M562)*($M$7:$M$606&gt;=$L562))&gt;0,"⚠ Çakışma","OK")))</f>
        <v/>
      </c>
      <c r="P562" s="28" t="str">
        <f aca="false">IF($A562="","",IF(OR($K562="",$H562="",$L562=""),"",IF(SUMPRODUCT(($A$7:$A$606&lt;&gt;"")*($K$7:$K$606=$K562)*($H$7:$H$606=$H562)*(ROW($A$7:$A$606)&lt;&gt;562)*($L$7:$L$606&lt;=$M562)*($M$7:$M$606&gt;=$L562))&gt;0,"⚠ Çakışma","OK")))</f>
        <v/>
      </c>
      <c r="Q562" s="28" t="str">
        <f aca="false">IF($A562="","",IF(OR($E562="",$H562="",$L562=""),"",IF(SUMPRODUCT(($A$7:$A$606&lt;&gt;"")*($E$7:$E$606=$E562)*($H$7:$H$606=$H562)*(ROW($A$7:$A$606)&lt;&gt;562)*($L$7:$L$606&lt;=$M562)*($M$7:$M$606&gt;=$L562))&gt;0,"⚠ Çakışma","OK")))</f>
        <v/>
      </c>
      <c r="R562" s="28" t="str">
        <f aca="false">IF($A562="","",IF(OR($N562&lt;&gt;"",$O562="⚠ Çakışma",$P562="⚠ Çakışma",$Q562="⚠ Çakışma"),"⚠ Kontrol Et","✓ Uygun"))</f>
        <v/>
      </c>
    </row>
    <row r="563" customFormat="false" ht="13.5" hidden="false" customHeight="true" outlineLevel="0" collapsed="false">
      <c r="A563" s="28" t="str">
        <f aca="false">IF('3-Turizm İşletmeciliği'!A160="","","Turizm İşletmeciliği")</f>
        <v/>
      </c>
      <c r="B563" s="28" t="str">
        <f aca="false">IF($A563="","",IF('3-Turizm İşletmeciliği'!A160="","",'3-Turizm İşletmeciliği'!A160))</f>
        <v/>
      </c>
      <c r="C563" s="29" t="str">
        <f aca="false">IF($A563="","",IF('3-Turizm İşletmeciliği'!B160="","",'3-Turizm İşletmeciliği'!B160))</f>
        <v/>
      </c>
      <c r="D563" s="28" t="str">
        <f aca="false">IF($A563="","",IF('3-Turizm İşletmeciliği'!C160="","",'3-Turizm İşletmeciliği'!C160))</f>
        <v/>
      </c>
      <c r="E563" s="28" t="str">
        <f aca="false">IF($A563="","",$A563&amp;"-"&amp;$D563)</f>
        <v/>
      </c>
      <c r="F563" s="28" t="str">
        <f aca="false">IF($A563="","",IF('3-Turizm İşletmeciliği'!D160="","",'3-Turizm İşletmeciliği'!D160))</f>
        <v/>
      </c>
      <c r="G563" s="28" t="str">
        <f aca="false">IF($A563="","",IF('3-Turizm İşletmeciliği'!E160="","",'3-Turizm İşletmeciliği'!E160))</f>
        <v/>
      </c>
      <c r="H563" s="28" t="str">
        <f aca="false">IF($A563="","",IF('3-Turizm İşletmeciliği'!F160="","",'3-Turizm İşletmeciliği'!F160))</f>
        <v/>
      </c>
      <c r="I563" s="28" t="str">
        <f aca="false">IF($A563="","",IF('3-Turizm İşletmeciliği'!G160="","",'3-Turizm İşletmeciliği'!G160))</f>
        <v/>
      </c>
      <c r="J563" s="28" t="str">
        <f aca="false">IF($A563="","",IF('3-Turizm İşletmeciliği'!H160="","",'3-Turizm İşletmeciliği'!H160))</f>
        <v/>
      </c>
      <c r="K563" s="28" t="str">
        <f aca="false">IF($A563="","",IF('3-Turizm İşletmeciliği'!I160="","",'3-Turizm İşletmeciliği'!I160))</f>
        <v/>
      </c>
      <c r="L563" s="28" t="str">
        <f aca="false">IF($I563="","",MATCH($I563,{"08.00";"09.00";"10.00";"11.00";"12.00";"13.00";"14.00";"15.00";"16.00";"17.00"},0))</f>
        <v/>
      </c>
      <c r="M563" s="28" t="str">
        <f aca="false">IF(OR($L563="",$J563=""),"",$L563+$J563-1)</f>
        <v/>
      </c>
      <c r="N563" s="28" t="str">
        <f aca="false">IF($A563="","",IF(OR($L563="",$M563=""),"",IF($M563&gt;10,"⚠ Saat Taşıyor","")))</f>
        <v/>
      </c>
      <c r="O563" s="28" t="str">
        <f aca="false">IF($A563="","",IF(OR($G563="",$H563="",$L563=""),"",IF(SUMPRODUCT(($A$7:$A$606&lt;&gt;"")*($G$7:$G$606=$G563)*($H$7:$H$606=$H563)*(ROW($A$7:$A$606)&lt;&gt;563)*($L$7:$L$606&lt;=$M563)*($M$7:$M$606&gt;=$L563))&gt;0,"⚠ Çakışma","OK")))</f>
        <v/>
      </c>
      <c r="P563" s="28" t="str">
        <f aca="false">IF($A563="","",IF(OR($K563="",$H563="",$L563=""),"",IF(SUMPRODUCT(($A$7:$A$606&lt;&gt;"")*($K$7:$K$606=$K563)*($H$7:$H$606=$H563)*(ROW($A$7:$A$606)&lt;&gt;563)*($L$7:$L$606&lt;=$M563)*($M$7:$M$606&gt;=$L563))&gt;0,"⚠ Çakışma","OK")))</f>
        <v/>
      </c>
      <c r="Q563" s="28" t="str">
        <f aca="false">IF($A563="","",IF(OR($E563="",$H563="",$L563=""),"",IF(SUMPRODUCT(($A$7:$A$606&lt;&gt;"")*($E$7:$E$606=$E563)*($H$7:$H$606=$H563)*(ROW($A$7:$A$606)&lt;&gt;563)*($L$7:$L$606&lt;=$M563)*($M$7:$M$606&gt;=$L563))&gt;0,"⚠ Çakışma","OK")))</f>
        <v/>
      </c>
      <c r="R563" s="28" t="str">
        <f aca="false">IF($A563="","",IF(OR($N563&lt;&gt;"",$O563="⚠ Çakışma",$P563="⚠ Çakışma",$Q563="⚠ Çakışma"),"⚠ Kontrol Et","✓ Uygun"))</f>
        <v/>
      </c>
    </row>
    <row r="564" customFormat="false" ht="13.5" hidden="false" customHeight="true" outlineLevel="0" collapsed="false">
      <c r="A564" s="28" t="str">
        <f aca="false">IF('3-Turizm İşletmeciliği'!A161="","","Turizm İşletmeciliği")</f>
        <v/>
      </c>
      <c r="B564" s="28" t="str">
        <f aca="false">IF($A564="","",IF('3-Turizm İşletmeciliği'!A161="","",'3-Turizm İşletmeciliği'!A161))</f>
        <v/>
      </c>
      <c r="C564" s="29" t="str">
        <f aca="false">IF($A564="","",IF('3-Turizm İşletmeciliği'!B161="","",'3-Turizm İşletmeciliği'!B161))</f>
        <v/>
      </c>
      <c r="D564" s="28" t="str">
        <f aca="false">IF($A564="","",IF('3-Turizm İşletmeciliği'!C161="","",'3-Turizm İşletmeciliği'!C161))</f>
        <v/>
      </c>
      <c r="E564" s="28" t="str">
        <f aca="false">IF($A564="","",$A564&amp;"-"&amp;$D564)</f>
        <v/>
      </c>
      <c r="F564" s="28" t="str">
        <f aca="false">IF($A564="","",IF('3-Turizm İşletmeciliği'!D161="","",'3-Turizm İşletmeciliği'!D161))</f>
        <v/>
      </c>
      <c r="G564" s="28" t="str">
        <f aca="false">IF($A564="","",IF('3-Turizm İşletmeciliği'!E161="","",'3-Turizm İşletmeciliği'!E161))</f>
        <v/>
      </c>
      <c r="H564" s="28" t="str">
        <f aca="false">IF($A564="","",IF('3-Turizm İşletmeciliği'!F161="","",'3-Turizm İşletmeciliği'!F161))</f>
        <v/>
      </c>
      <c r="I564" s="28" t="str">
        <f aca="false">IF($A564="","",IF('3-Turizm İşletmeciliği'!G161="","",'3-Turizm İşletmeciliği'!G161))</f>
        <v/>
      </c>
      <c r="J564" s="28" t="str">
        <f aca="false">IF($A564="","",IF('3-Turizm İşletmeciliği'!H161="","",'3-Turizm İşletmeciliği'!H161))</f>
        <v/>
      </c>
      <c r="K564" s="28" t="str">
        <f aca="false">IF($A564="","",IF('3-Turizm İşletmeciliği'!I161="","",'3-Turizm İşletmeciliği'!I161))</f>
        <v/>
      </c>
      <c r="L564" s="28" t="str">
        <f aca="false">IF($I564="","",MATCH($I564,{"08.00";"09.00";"10.00";"11.00";"12.00";"13.00";"14.00";"15.00";"16.00";"17.00"},0))</f>
        <v/>
      </c>
      <c r="M564" s="28" t="str">
        <f aca="false">IF(OR($L564="",$J564=""),"",$L564+$J564-1)</f>
        <v/>
      </c>
      <c r="N564" s="28" t="str">
        <f aca="false">IF($A564="","",IF(OR($L564="",$M564=""),"",IF($M564&gt;10,"⚠ Saat Taşıyor","")))</f>
        <v/>
      </c>
      <c r="O564" s="28" t="str">
        <f aca="false">IF($A564="","",IF(OR($G564="",$H564="",$L564=""),"",IF(SUMPRODUCT(($A$7:$A$606&lt;&gt;"")*($G$7:$G$606=$G564)*($H$7:$H$606=$H564)*(ROW($A$7:$A$606)&lt;&gt;564)*($L$7:$L$606&lt;=$M564)*($M$7:$M$606&gt;=$L564))&gt;0,"⚠ Çakışma","OK")))</f>
        <v/>
      </c>
      <c r="P564" s="28" t="str">
        <f aca="false">IF($A564="","",IF(OR($K564="",$H564="",$L564=""),"",IF(SUMPRODUCT(($A$7:$A$606&lt;&gt;"")*($K$7:$K$606=$K564)*($H$7:$H$606=$H564)*(ROW($A$7:$A$606)&lt;&gt;564)*($L$7:$L$606&lt;=$M564)*($M$7:$M$606&gt;=$L564))&gt;0,"⚠ Çakışma","OK")))</f>
        <v/>
      </c>
      <c r="Q564" s="28" t="str">
        <f aca="false">IF($A564="","",IF(OR($E564="",$H564="",$L564=""),"",IF(SUMPRODUCT(($A$7:$A$606&lt;&gt;"")*($E$7:$E$606=$E564)*($H$7:$H$606=$H564)*(ROW($A$7:$A$606)&lt;&gt;564)*($L$7:$L$606&lt;=$M564)*($M$7:$M$606&gt;=$L564))&gt;0,"⚠ Çakışma","OK")))</f>
        <v/>
      </c>
      <c r="R564" s="28" t="str">
        <f aca="false">IF($A564="","",IF(OR($N564&lt;&gt;"",$O564="⚠ Çakışma",$P564="⚠ Çakışma",$Q564="⚠ Çakışma"),"⚠ Kontrol Et","✓ Uygun"))</f>
        <v/>
      </c>
    </row>
    <row r="565" customFormat="false" ht="13.5" hidden="false" customHeight="true" outlineLevel="0" collapsed="false">
      <c r="A565" s="28" t="str">
        <f aca="false">IF('3-Turizm İşletmeciliği'!A162="","","Turizm İşletmeciliği")</f>
        <v/>
      </c>
      <c r="B565" s="28" t="str">
        <f aca="false">IF($A565="","",IF('3-Turizm İşletmeciliği'!A162="","",'3-Turizm İşletmeciliği'!A162))</f>
        <v/>
      </c>
      <c r="C565" s="29" t="str">
        <f aca="false">IF($A565="","",IF('3-Turizm İşletmeciliği'!B162="","",'3-Turizm İşletmeciliği'!B162))</f>
        <v/>
      </c>
      <c r="D565" s="28" t="str">
        <f aca="false">IF($A565="","",IF('3-Turizm İşletmeciliği'!C162="","",'3-Turizm İşletmeciliği'!C162))</f>
        <v/>
      </c>
      <c r="E565" s="28" t="str">
        <f aca="false">IF($A565="","",$A565&amp;"-"&amp;$D565)</f>
        <v/>
      </c>
      <c r="F565" s="28" t="str">
        <f aca="false">IF($A565="","",IF('3-Turizm İşletmeciliği'!D162="","",'3-Turizm İşletmeciliği'!D162))</f>
        <v/>
      </c>
      <c r="G565" s="28" t="str">
        <f aca="false">IF($A565="","",IF('3-Turizm İşletmeciliği'!E162="","",'3-Turizm İşletmeciliği'!E162))</f>
        <v/>
      </c>
      <c r="H565" s="28" t="str">
        <f aca="false">IF($A565="","",IF('3-Turizm İşletmeciliği'!F162="","",'3-Turizm İşletmeciliği'!F162))</f>
        <v/>
      </c>
      <c r="I565" s="28" t="str">
        <f aca="false">IF($A565="","",IF('3-Turizm İşletmeciliği'!G162="","",'3-Turizm İşletmeciliği'!G162))</f>
        <v/>
      </c>
      <c r="J565" s="28" t="str">
        <f aca="false">IF($A565="","",IF('3-Turizm İşletmeciliği'!H162="","",'3-Turizm İşletmeciliği'!H162))</f>
        <v/>
      </c>
      <c r="K565" s="28" t="str">
        <f aca="false">IF($A565="","",IF('3-Turizm İşletmeciliği'!I162="","",'3-Turizm İşletmeciliği'!I162))</f>
        <v/>
      </c>
      <c r="L565" s="28" t="str">
        <f aca="false">IF($I565="","",MATCH($I565,{"08.00";"09.00";"10.00";"11.00";"12.00";"13.00";"14.00";"15.00";"16.00";"17.00"},0))</f>
        <v/>
      </c>
      <c r="M565" s="28" t="str">
        <f aca="false">IF(OR($L565="",$J565=""),"",$L565+$J565-1)</f>
        <v/>
      </c>
      <c r="N565" s="28" t="str">
        <f aca="false">IF($A565="","",IF(OR($L565="",$M565=""),"",IF($M565&gt;10,"⚠ Saat Taşıyor","")))</f>
        <v/>
      </c>
      <c r="O565" s="28" t="str">
        <f aca="false">IF($A565="","",IF(OR($G565="",$H565="",$L565=""),"",IF(SUMPRODUCT(($A$7:$A$606&lt;&gt;"")*($G$7:$G$606=$G565)*($H$7:$H$606=$H565)*(ROW($A$7:$A$606)&lt;&gt;565)*($L$7:$L$606&lt;=$M565)*($M$7:$M$606&gt;=$L565))&gt;0,"⚠ Çakışma","OK")))</f>
        <v/>
      </c>
      <c r="P565" s="28" t="str">
        <f aca="false">IF($A565="","",IF(OR($K565="",$H565="",$L565=""),"",IF(SUMPRODUCT(($A$7:$A$606&lt;&gt;"")*($K$7:$K$606=$K565)*($H$7:$H$606=$H565)*(ROW($A$7:$A$606)&lt;&gt;565)*($L$7:$L$606&lt;=$M565)*($M$7:$M$606&gt;=$L565))&gt;0,"⚠ Çakışma","OK")))</f>
        <v/>
      </c>
      <c r="Q565" s="28" t="str">
        <f aca="false">IF($A565="","",IF(OR($E565="",$H565="",$L565=""),"",IF(SUMPRODUCT(($A$7:$A$606&lt;&gt;"")*($E$7:$E$606=$E565)*($H$7:$H$606=$H565)*(ROW($A$7:$A$606)&lt;&gt;565)*($L$7:$L$606&lt;=$M565)*($M$7:$M$606&gt;=$L565))&gt;0,"⚠ Çakışma","OK")))</f>
        <v/>
      </c>
      <c r="R565" s="28" t="str">
        <f aca="false">IF($A565="","",IF(OR($N565&lt;&gt;"",$O565="⚠ Çakışma",$P565="⚠ Çakışma",$Q565="⚠ Çakışma"),"⚠ Kontrol Et","✓ Uygun"))</f>
        <v/>
      </c>
    </row>
    <row r="566" customFormat="false" ht="13.5" hidden="false" customHeight="true" outlineLevel="0" collapsed="false">
      <c r="A566" s="28" t="str">
        <f aca="false">IF('3-Turizm İşletmeciliği'!A163="","","Turizm İşletmeciliği")</f>
        <v/>
      </c>
      <c r="B566" s="28" t="str">
        <f aca="false">IF($A566="","",IF('3-Turizm İşletmeciliği'!A163="","",'3-Turizm İşletmeciliği'!A163))</f>
        <v/>
      </c>
      <c r="C566" s="29" t="str">
        <f aca="false">IF($A566="","",IF('3-Turizm İşletmeciliği'!B163="","",'3-Turizm İşletmeciliği'!B163))</f>
        <v/>
      </c>
      <c r="D566" s="28" t="str">
        <f aca="false">IF($A566="","",IF('3-Turizm İşletmeciliği'!C163="","",'3-Turizm İşletmeciliği'!C163))</f>
        <v/>
      </c>
      <c r="E566" s="28" t="str">
        <f aca="false">IF($A566="","",$A566&amp;"-"&amp;$D566)</f>
        <v/>
      </c>
      <c r="F566" s="28" t="str">
        <f aca="false">IF($A566="","",IF('3-Turizm İşletmeciliği'!D163="","",'3-Turizm İşletmeciliği'!D163))</f>
        <v/>
      </c>
      <c r="G566" s="28" t="str">
        <f aca="false">IF($A566="","",IF('3-Turizm İşletmeciliği'!E163="","",'3-Turizm İşletmeciliği'!E163))</f>
        <v/>
      </c>
      <c r="H566" s="28" t="str">
        <f aca="false">IF($A566="","",IF('3-Turizm İşletmeciliği'!F163="","",'3-Turizm İşletmeciliği'!F163))</f>
        <v/>
      </c>
      <c r="I566" s="28" t="str">
        <f aca="false">IF($A566="","",IF('3-Turizm İşletmeciliği'!G163="","",'3-Turizm İşletmeciliği'!G163))</f>
        <v/>
      </c>
      <c r="J566" s="28" t="str">
        <f aca="false">IF($A566="","",IF('3-Turizm İşletmeciliği'!H163="","",'3-Turizm İşletmeciliği'!H163))</f>
        <v/>
      </c>
      <c r="K566" s="28" t="str">
        <f aca="false">IF($A566="","",IF('3-Turizm İşletmeciliği'!I163="","",'3-Turizm İşletmeciliği'!I163))</f>
        <v/>
      </c>
      <c r="L566" s="28" t="str">
        <f aca="false">IF($I566="","",MATCH($I566,{"08.00";"09.00";"10.00";"11.00";"12.00";"13.00";"14.00";"15.00";"16.00";"17.00"},0))</f>
        <v/>
      </c>
      <c r="M566" s="28" t="str">
        <f aca="false">IF(OR($L566="",$J566=""),"",$L566+$J566-1)</f>
        <v/>
      </c>
      <c r="N566" s="28" t="str">
        <f aca="false">IF($A566="","",IF(OR($L566="",$M566=""),"",IF($M566&gt;10,"⚠ Saat Taşıyor","")))</f>
        <v/>
      </c>
      <c r="O566" s="28" t="str">
        <f aca="false">IF($A566="","",IF(OR($G566="",$H566="",$L566=""),"",IF(SUMPRODUCT(($A$7:$A$606&lt;&gt;"")*($G$7:$G$606=$G566)*($H$7:$H$606=$H566)*(ROW($A$7:$A$606)&lt;&gt;566)*($L$7:$L$606&lt;=$M566)*($M$7:$M$606&gt;=$L566))&gt;0,"⚠ Çakışma","OK")))</f>
        <v/>
      </c>
      <c r="P566" s="28" t="str">
        <f aca="false">IF($A566="","",IF(OR($K566="",$H566="",$L566=""),"",IF(SUMPRODUCT(($A$7:$A$606&lt;&gt;"")*($K$7:$K$606=$K566)*($H$7:$H$606=$H566)*(ROW($A$7:$A$606)&lt;&gt;566)*($L$7:$L$606&lt;=$M566)*($M$7:$M$606&gt;=$L566))&gt;0,"⚠ Çakışma","OK")))</f>
        <v/>
      </c>
      <c r="Q566" s="28" t="str">
        <f aca="false">IF($A566="","",IF(OR($E566="",$H566="",$L566=""),"",IF(SUMPRODUCT(($A$7:$A$606&lt;&gt;"")*($E$7:$E$606=$E566)*($H$7:$H$606=$H566)*(ROW($A$7:$A$606)&lt;&gt;566)*($L$7:$L$606&lt;=$M566)*($M$7:$M$606&gt;=$L566))&gt;0,"⚠ Çakışma","OK")))</f>
        <v/>
      </c>
      <c r="R566" s="28" t="str">
        <f aca="false">IF($A566="","",IF(OR($N566&lt;&gt;"",$O566="⚠ Çakışma",$P566="⚠ Çakışma",$Q566="⚠ Çakışma"),"⚠ Kontrol Et","✓ Uygun"))</f>
        <v/>
      </c>
    </row>
    <row r="567" customFormat="false" ht="13.5" hidden="false" customHeight="true" outlineLevel="0" collapsed="false">
      <c r="A567" s="28" t="str">
        <f aca="false">IF('3-Turizm İşletmeciliği'!A164="","","Turizm İşletmeciliği")</f>
        <v/>
      </c>
      <c r="B567" s="28" t="str">
        <f aca="false">IF($A567="","",IF('3-Turizm İşletmeciliği'!A164="","",'3-Turizm İşletmeciliği'!A164))</f>
        <v/>
      </c>
      <c r="C567" s="29" t="str">
        <f aca="false">IF($A567="","",IF('3-Turizm İşletmeciliği'!B164="","",'3-Turizm İşletmeciliği'!B164))</f>
        <v/>
      </c>
      <c r="D567" s="28" t="str">
        <f aca="false">IF($A567="","",IF('3-Turizm İşletmeciliği'!C164="","",'3-Turizm İşletmeciliği'!C164))</f>
        <v/>
      </c>
      <c r="E567" s="28" t="str">
        <f aca="false">IF($A567="","",$A567&amp;"-"&amp;$D567)</f>
        <v/>
      </c>
      <c r="F567" s="28" t="str">
        <f aca="false">IF($A567="","",IF('3-Turizm İşletmeciliği'!D164="","",'3-Turizm İşletmeciliği'!D164))</f>
        <v/>
      </c>
      <c r="G567" s="28" t="str">
        <f aca="false">IF($A567="","",IF('3-Turizm İşletmeciliği'!E164="","",'3-Turizm İşletmeciliği'!E164))</f>
        <v/>
      </c>
      <c r="H567" s="28" t="str">
        <f aca="false">IF($A567="","",IF('3-Turizm İşletmeciliği'!F164="","",'3-Turizm İşletmeciliği'!F164))</f>
        <v/>
      </c>
      <c r="I567" s="28" t="str">
        <f aca="false">IF($A567="","",IF('3-Turizm İşletmeciliği'!G164="","",'3-Turizm İşletmeciliği'!G164))</f>
        <v/>
      </c>
      <c r="J567" s="28" t="str">
        <f aca="false">IF($A567="","",IF('3-Turizm İşletmeciliği'!H164="","",'3-Turizm İşletmeciliği'!H164))</f>
        <v/>
      </c>
      <c r="K567" s="28" t="str">
        <f aca="false">IF($A567="","",IF('3-Turizm İşletmeciliği'!I164="","",'3-Turizm İşletmeciliği'!I164))</f>
        <v/>
      </c>
      <c r="L567" s="28" t="str">
        <f aca="false">IF($I567="","",MATCH($I567,{"08.00";"09.00";"10.00";"11.00";"12.00";"13.00";"14.00";"15.00";"16.00";"17.00"},0))</f>
        <v/>
      </c>
      <c r="M567" s="28" t="str">
        <f aca="false">IF(OR($L567="",$J567=""),"",$L567+$J567-1)</f>
        <v/>
      </c>
      <c r="N567" s="28" t="str">
        <f aca="false">IF($A567="","",IF(OR($L567="",$M567=""),"",IF($M567&gt;10,"⚠ Saat Taşıyor","")))</f>
        <v/>
      </c>
      <c r="O567" s="28" t="str">
        <f aca="false">IF($A567="","",IF(OR($G567="",$H567="",$L567=""),"",IF(SUMPRODUCT(($A$7:$A$606&lt;&gt;"")*($G$7:$G$606=$G567)*($H$7:$H$606=$H567)*(ROW($A$7:$A$606)&lt;&gt;567)*($L$7:$L$606&lt;=$M567)*($M$7:$M$606&gt;=$L567))&gt;0,"⚠ Çakışma","OK")))</f>
        <v/>
      </c>
      <c r="P567" s="28" t="str">
        <f aca="false">IF($A567="","",IF(OR($K567="",$H567="",$L567=""),"",IF(SUMPRODUCT(($A$7:$A$606&lt;&gt;"")*($K$7:$K$606=$K567)*($H$7:$H$606=$H567)*(ROW($A$7:$A$606)&lt;&gt;567)*($L$7:$L$606&lt;=$M567)*($M$7:$M$606&gt;=$L567))&gt;0,"⚠ Çakışma","OK")))</f>
        <v/>
      </c>
      <c r="Q567" s="28" t="str">
        <f aca="false">IF($A567="","",IF(OR($E567="",$H567="",$L567=""),"",IF(SUMPRODUCT(($A$7:$A$606&lt;&gt;"")*($E$7:$E$606=$E567)*($H$7:$H$606=$H567)*(ROW($A$7:$A$606)&lt;&gt;567)*($L$7:$L$606&lt;=$M567)*($M$7:$M$606&gt;=$L567))&gt;0,"⚠ Çakışma","OK")))</f>
        <v/>
      </c>
      <c r="R567" s="28" t="str">
        <f aca="false">IF($A567="","",IF(OR($N567&lt;&gt;"",$O567="⚠ Çakışma",$P567="⚠ Çakışma",$Q567="⚠ Çakışma"),"⚠ Kontrol Et","✓ Uygun"))</f>
        <v/>
      </c>
    </row>
    <row r="568" customFormat="false" ht="13.5" hidden="false" customHeight="true" outlineLevel="0" collapsed="false">
      <c r="A568" s="28" t="str">
        <f aca="false">IF('3-Turizm İşletmeciliği'!A165="","","Turizm İşletmeciliği")</f>
        <v/>
      </c>
      <c r="B568" s="28" t="str">
        <f aca="false">IF($A568="","",IF('3-Turizm İşletmeciliği'!A165="","",'3-Turizm İşletmeciliği'!A165))</f>
        <v/>
      </c>
      <c r="C568" s="29" t="str">
        <f aca="false">IF($A568="","",IF('3-Turizm İşletmeciliği'!B165="","",'3-Turizm İşletmeciliği'!B165))</f>
        <v/>
      </c>
      <c r="D568" s="28" t="str">
        <f aca="false">IF($A568="","",IF('3-Turizm İşletmeciliği'!C165="","",'3-Turizm İşletmeciliği'!C165))</f>
        <v/>
      </c>
      <c r="E568" s="28" t="str">
        <f aca="false">IF($A568="","",$A568&amp;"-"&amp;$D568)</f>
        <v/>
      </c>
      <c r="F568" s="28" t="str">
        <f aca="false">IF($A568="","",IF('3-Turizm İşletmeciliği'!D165="","",'3-Turizm İşletmeciliği'!D165))</f>
        <v/>
      </c>
      <c r="G568" s="28" t="str">
        <f aca="false">IF($A568="","",IF('3-Turizm İşletmeciliği'!E165="","",'3-Turizm İşletmeciliği'!E165))</f>
        <v/>
      </c>
      <c r="H568" s="28" t="str">
        <f aca="false">IF($A568="","",IF('3-Turizm İşletmeciliği'!F165="","",'3-Turizm İşletmeciliği'!F165))</f>
        <v/>
      </c>
      <c r="I568" s="28" t="str">
        <f aca="false">IF($A568="","",IF('3-Turizm İşletmeciliği'!G165="","",'3-Turizm İşletmeciliği'!G165))</f>
        <v/>
      </c>
      <c r="J568" s="28" t="str">
        <f aca="false">IF($A568="","",IF('3-Turizm İşletmeciliği'!H165="","",'3-Turizm İşletmeciliği'!H165))</f>
        <v/>
      </c>
      <c r="K568" s="28" t="str">
        <f aca="false">IF($A568="","",IF('3-Turizm İşletmeciliği'!I165="","",'3-Turizm İşletmeciliği'!I165))</f>
        <v/>
      </c>
      <c r="L568" s="28" t="str">
        <f aca="false">IF($I568="","",MATCH($I568,{"08.00";"09.00";"10.00";"11.00";"12.00";"13.00";"14.00";"15.00";"16.00";"17.00"},0))</f>
        <v/>
      </c>
      <c r="M568" s="28" t="str">
        <f aca="false">IF(OR($L568="",$J568=""),"",$L568+$J568-1)</f>
        <v/>
      </c>
      <c r="N568" s="28" t="str">
        <f aca="false">IF($A568="","",IF(OR($L568="",$M568=""),"",IF($M568&gt;10,"⚠ Saat Taşıyor","")))</f>
        <v/>
      </c>
      <c r="O568" s="28" t="str">
        <f aca="false">IF($A568="","",IF(OR($G568="",$H568="",$L568=""),"",IF(SUMPRODUCT(($A$7:$A$606&lt;&gt;"")*($G$7:$G$606=$G568)*($H$7:$H$606=$H568)*(ROW($A$7:$A$606)&lt;&gt;568)*($L$7:$L$606&lt;=$M568)*($M$7:$M$606&gt;=$L568))&gt;0,"⚠ Çakışma","OK")))</f>
        <v/>
      </c>
      <c r="P568" s="28" t="str">
        <f aca="false">IF($A568="","",IF(OR($K568="",$H568="",$L568=""),"",IF(SUMPRODUCT(($A$7:$A$606&lt;&gt;"")*($K$7:$K$606=$K568)*($H$7:$H$606=$H568)*(ROW($A$7:$A$606)&lt;&gt;568)*($L$7:$L$606&lt;=$M568)*($M$7:$M$606&gt;=$L568))&gt;0,"⚠ Çakışma","OK")))</f>
        <v/>
      </c>
      <c r="Q568" s="28" t="str">
        <f aca="false">IF($A568="","",IF(OR($E568="",$H568="",$L568=""),"",IF(SUMPRODUCT(($A$7:$A$606&lt;&gt;"")*($E$7:$E$606=$E568)*($H$7:$H$606=$H568)*(ROW($A$7:$A$606)&lt;&gt;568)*($L$7:$L$606&lt;=$M568)*($M$7:$M$606&gt;=$L568))&gt;0,"⚠ Çakışma","OK")))</f>
        <v/>
      </c>
      <c r="R568" s="28" t="str">
        <f aca="false">IF($A568="","",IF(OR($N568&lt;&gt;"",$O568="⚠ Çakışma",$P568="⚠ Çakışma",$Q568="⚠ Çakışma"),"⚠ Kontrol Et","✓ Uygun"))</f>
        <v/>
      </c>
    </row>
    <row r="569" customFormat="false" ht="13.5" hidden="false" customHeight="true" outlineLevel="0" collapsed="false">
      <c r="A569" s="28" t="str">
        <f aca="false">IF('3-Turizm İşletmeciliği'!A166="","","Turizm İşletmeciliği")</f>
        <v/>
      </c>
      <c r="B569" s="28" t="str">
        <f aca="false">IF($A569="","",IF('3-Turizm İşletmeciliği'!A166="","",'3-Turizm İşletmeciliği'!A166))</f>
        <v/>
      </c>
      <c r="C569" s="29" t="str">
        <f aca="false">IF($A569="","",IF('3-Turizm İşletmeciliği'!B166="","",'3-Turizm İşletmeciliği'!B166))</f>
        <v/>
      </c>
      <c r="D569" s="28" t="str">
        <f aca="false">IF($A569="","",IF('3-Turizm İşletmeciliği'!C166="","",'3-Turizm İşletmeciliği'!C166))</f>
        <v/>
      </c>
      <c r="E569" s="28" t="str">
        <f aca="false">IF($A569="","",$A569&amp;"-"&amp;$D569)</f>
        <v/>
      </c>
      <c r="F569" s="28" t="str">
        <f aca="false">IF($A569="","",IF('3-Turizm İşletmeciliği'!D166="","",'3-Turizm İşletmeciliği'!D166))</f>
        <v/>
      </c>
      <c r="G569" s="28" t="str">
        <f aca="false">IF($A569="","",IF('3-Turizm İşletmeciliği'!E166="","",'3-Turizm İşletmeciliği'!E166))</f>
        <v/>
      </c>
      <c r="H569" s="28" t="str">
        <f aca="false">IF($A569="","",IF('3-Turizm İşletmeciliği'!F166="","",'3-Turizm İşletmeciliği'!F166))</f>
        <v/>
      </c>
      <c r="I569" s="28" t="str">
        <f aca="false">IF($A569="","",IF('3-Turizm İşletmeciliği'!G166="","",'3-Turizm İşletmeciliği'!G166))</f>
        <v/>
      </c>
      <c r="J569" s="28" t="str">
        <f aca="false">IF($A569="","",IF('3-Turizm İşletmeciliği'!H166="","",'3-Turizm İşletmeciliği'!H166))</f>
        <v/>
      </c>
      <c r="K569" s="28" t="str">
        <f aca="false">IF($A569="","",IF('3-Turizm İşletmeciliği'!I166="","",'3-Turizm İşletmeciliği'!I166))</f>
        <v/>
      </c>
      <c r="L569" s="28" t="str">
        <f aca="false">IF($I569="","",MATCH($I569,{"08.00";"09.00";"10.00";"11.00";"12.00";"13.00";"14.00";"15.00";"16.00";"17.00"},0))</f>
        <v/>
      </c>
      <c r="M569" s="28" t="str">
        <f aca="false">IF(OR($L569="",$J569=""),"",$L569+$J569-1)</f>
        <v/>
      </c>
      <c r="N569" s="28" t="str">
        <f aca="false">IF($A569="","",IF(OR($L569="",$M569=""),"",IF($M569&gt;10,"⚠ Saat Taşıyor","")))</f>
        <v/>
      </c>
      <c r="O569" s="28" t="str">
        <f aca="false">IF($A569="","",IF(OR($G569="",$H569="",$L569=""),"",IF(SUMPRODUCT(($A$7:$A$606&lt;&gt;"")*($G$7:$G$606=$G569)*($H$7:$H$606=$H569)*(ROW($A$7:$A$606)&lt;&gt;569)*($L$7:$L$606&lt;=$M569)*($M$7:$M$606&gt;=$L569))&gt;0,"⚠ Çakışma","OK")))</f>
        <v/>
      </c>
      <c r="P569" s="28" t="str">
        <f aca="false">IF($A569="","",IF(OR($K569="",$H569="",$L569=""),"",IF(SUMPRODUCT(($A$7:$A$606&lt;&gt;"")*($K$7:$K$606=$K569)*($H$7:$H$606=$H569)*(ROW($A$7:$A$606)&lt;&gt;569)*($L$7:$L$606&lt;=$M569)*($M$7:$M$606&gt;=$L569))&gt;0,"⚠ Çakışma","OK")))</f>
        <v/>
      </c>
      <c r="Q569" s="28" t="str">
        <f aca="false">IF($A569="","",IF(OR($E569="",$H569="",$L569=""),"",IF(SUMPRODUCT(($A$7:$A$606&lt;&gt;"")*($E$7:$E$606=$E569)*($H$7:$H$606=$H569)*(ROW($A$7:$A$606)&lt;&gt;569)*($L$7:$L$606&lt;=$M569)*($M$7:$M$606&gt;=$L569))&gt;0,"⚠ Çakışma","OK")))</f>
        <v/>
      </c>
      <c r="R569" s="28" t="str">
        <f aca="false">IF($A569="","",IF(OR($N569&lt;&gt;"",$O569="⚠ Çakışma",$P569="⚠ Çakışma",$Q569="⚠ Çakışma"),"⚠ Kontrol Et","✓ Uygun"))</f>
        <v/>
      </c>
    </row>
    <row r="570" customFormat="false" ht="13.5" hidden="false" customHeight="true" outlineLevel="0" collapsed="false">
      <c r="A570" s="28" t="str">
        <f aca="false">IF('3-Turizm İşletmeciliği'!A167="","","Turizm İşletmeciliği")</f>
        <v/>
      </c>
      <c r="B570" s="28" t="str">
        <f aca="false">IF($A570="","",IF('3-Turizm İşletmeciliği'!A167="","",'3-Turizm İşletmeciliği'!A167))</f>
        <v/>
      </c>
      <c r="C570" s="29" t="str">
        <f aca="false">IF($A570="","",IF('3-Turizm İşletmeciliği'!B167="","",'3-Turizm İşletmeciliği'!B167))</f>
        <v/>
      </c>
      <c r="D570" s="28" t="str">
        <f aca="false">IF($A570="","",IF('3-Turizm İşletmeciliği'!C167="","",'3-Turizm İşletmeciliği'!C167))</f>
        <v/>
      </c>
      <c r="E570" s="28" t="str">
        <f aca="false">IF($A570="","",$A570&amp;"-"&amp;$D570)</f>
        <v/>
      </c>
      <c r="F570" s="28" t="str">
        <f aca="false">IF($A570="","",IF('3-Turizm İşletmeciliği'!D167="","",'3-Turizm İşletmeciliği'!D167))</f>
        <v/>
      </c>
      <c r="G570" s="28" t="str">
        <f aca="false">IF($A570="","",IF('3-Turizm İşletmeciliği'!E167="","",'3-Turizm İşletmeciliği'!E167))</f>
        <v/>
      </c>
      <c r="H570" s="28" t="str">
        <f aca="false">IF($A570="","",IF('3-Turizm İşletmeciliği'!F167="","",'3-Turizm İşletmeciliği'!F167))</f>
        <v/>
      </c>
      <c r="I570" s="28" t="str">
        <f aca="false">IF($A570="","",IF('3-Turizm İşletmeciliği'!G167="","",'3-Turizm İşletmeciliği'!G167))</f>
        <v/>
      </c>
      <c r="J570" s="28" t="str">
        <f aca="false">IF($A570="","",IF('3-Turizm İşletmeciliği'!H167="","",'3-Turizm İşletmeciliği'!H167))</f>
        <v/>
      </c>
      <c r="K570" s="28" t="str">
        <f aca="false">IF($A570="","",IF('3-Turizm İşletmeciliği'!I167="","",'3-Turizm İşletmeciliği'!I167))</f>
        <v/>
      </c>
      <c r="L570" s="28" t="str">
        <f aca="false">IF($I570="","",MATCH($I570,{"08.00";"09.00";"10.00";"11.00";"12.00";"13.00";"14.00";"15.00";"16.00";"17.00"},0))</f>
        <v/>
      </c>
      <c r="M570" s="28" t="str">
        <f aca="false">IF(OR($L570="",$J570=""),"",$L570+$J570-1)</f>
        <v/>
      </c>
      <c r="N570" s="28" t="str">
        <f aca="false">IF($A570="","",IF(OR($L570="",$M570=""),"",IF($M570&gt;10,"⚠ Saat Taşıyor","")))</f>
        <v/>
      </c>
      <c r="O570" s="28" t="str">
        <f aca="false">IF($A570="","",IF(OR($G570="",$H570="",$L570=""),"",IF(SUMPRODUCT(($A$7:$A$606&lt;&gt;"")*($G$7:$G$606=$G570)*($H$7:$H$606=$H570)*(ROW($A$7:$A$606)&lt;&gt;570)*($L$7:$L$606&lt;=$M570)*($M$7:$M$606&gt;=$L570))&gt;0,"⚠ Çakışma","OK")))</f>
        <v/>
      </c>
      <c r="P570" s="28" t="str">
        <f aca="false">IF($A570="","",IF(OR($K570="",$H570="",$L570=""),"",IF(SUMPRODUCT(($A$7:$A$606&lt;&gt;"")*($K$7:$K$606=$K570)*($H$7:$H$606=$H570)*(ROW($A$7:$A$606)&lt;&gt;570)*($L$7:$L$606&lt;=$M570)*($M$7:$M$606&gt;=$L570))&gt;0,"⚠ Çakışma","OK")))</f>
        <v/>
      </c>
      <c r="Q570" s="28" t="str">
        <f aca="false">IF($A570="","",IF(OR($E570="",$H570="",$L570=""),"",IF(SUMPRODUCT(($A$7:$A$606&lt;&gt;"")*($E$7:$E$606=$E570)*($H$7:$H$606=$H570)*(ROW($A$7:$A$606)&lt;&gt;570)*($L$7:$L$606&lt;=$M570)*($M$7:$M$606&gt;=$L570))&gt;0,"⚠ Çakışma","OK")))</f>
        <v/>
      </c>
      <c r="R570" s="28" t="str">
        <f aca="false">IF($A570="","",IF(OR($N570&lt;&gt;"",$O570="⚠ Çakışma",$P570="⚠ Çakışma",$Q570="⚠ Çakışma"),"⚠ Kontrol Et","✓ Uygun"))</f>
        <v/>
      </c>
    </row>
    <row r="571" customFormat="false" ht="13.5" hidden="false" customHeight="true" outlineLevel="0" collapsed="false">
      <c r="A571" s="28" t="str">
        <f aca="false">IF('3-Turizm İşletmeciliği'!A168="","","Turizm İşletmeciliği")</f>
        <v/>
      </c>
      <c r="B571" s="28" t="str">
        <f aca="false">IF($A571="","",IF('3-Turizm İşletmeciliği'!A168="","",'3-Turizm İşletmeciliği'!A168))</f>
        <v/>
      </c>
      <c r="C571" s="29" t="str">
        <f aca="false">IF($A571="","",IF('3-Turizm İşletmeciliği'!B168="","",'3-Turizm İşletmeciliği'!B168))</f>
        <v/>
      </c>
      <c r="D571" s="28" t="str">
        <f aca="false">IF($A571="","",IF('3-Turizm İşletmeciliği'!C168="","",'3-Turizm İşletmeciliği'!C168))</f>
        <v/>
      </c>
      <c r="E571" s="28" t="str">
        <f aca="false">IF($A571="","",$A571&amp;"-"&amp;$D571)</f>
        <v/>
      </c>
      <c r="F571" s="28" t="str">
        <f aca="false">IF($A571="","",IF('3-Turizm İşletmeciliği'!D168="","",'3-Turizm İşletmeciliği'!D168))</f>
        <v/>
      </c>
      <c r="G571" s="28" t="str">
        <f aca="false">IF($A571="","",IF('3-Turizm İşletmeciliği'!E168="","",'3-Turizm İşletmeciliği'!E168))</f>
        <v/>
      </c>
      <c r="H571" s="28" t="str">
        <f aca="false">IF($A571="","",IF('3-Turizm İşletmeciliği'!F168="","",'3-Turizm İşletmeciliği'!F168))</f>
        <v/>
      </c>
      <c r="I571" s="28" t="str">
        <f aca="false">IF($A571="","",IF('3-Turizm İşletmeciliği'!G168="","",'3-Turizm İşletmeciliği'!G168))</f>
        <v/>
      </c>
      <c r="J571" s="28" t="str">
        <f aca="false">IF($A571="","",IF('3-Turizm İşletmeciliği'!H168="","",'3-Turizm İşletmeciliği'!H168))</f>
        <v/>
      </c>
      <c r="K571" s="28" t="str">
        <f aca="false">IF($A571="","",IF('3-Turizm İşletmeciliği'!I168="","",'3-Turizm İşletmeciliği'!I168))</f>
        <v/>
      </c>
      <c r="L571" s="28" t="str">
        <f aca="false">IF($I571="","",MATCH($I571,{"08.00";"09.00";"10.00";"11.00";"12.00";"13.00";"14.00";"15.00";"16.00";"17.00"},0))</f>
        <v/>
      </c>
      <c r="M571" s="28" t="str">
        <f aca="false">IF(OR($L571="",$J571=""),"",$L571+$J571-1)</f>
        <v/>
      </c>
      <c r="N571" s="28" t="str">
        <f aca="false">IF($A571="","",IF(OR($L571="",$M571=""),"",IF($M571&gt;10,"⚠ Saat Taşıyor","")))</f>
        <v/>
      </c>
      <c r="O571" s="28" t="str">
        <f aca="false">IF($A571="","",IF(OR($G571="",$H571="",$L571=""),"",IF(SUMPRODUCT(($A$7:$A$606&lt;&gt;"")*($G$7:$G$606=$G571)*($H$7:$H$606=$H571)*(ROW($A$7:$A$606)&lt;&gt;571)*($L$7:$L$606&lt;=$M571)*($M$7:$M$606&gt;=$L571))&gt;0,"⚠ Çakışma","OK")))</f>
        <v/>
      </c>
      <c r="P571" s="28" t="str">
        <f aca="false">IF($A571="","",IF(OR($K571="",$H571="",$L571=""),"",IF(SUMPRODUCT(($A$7:$A$606&lt;&gt;"")*($K$7:$K$606=$K571)*($H$7:$H$606=$H571)*(ROW($A$7:$A$606)&lt;&gt;571)*($L$7:$L$606&lt;=$M571)*($M$7:$M$606&gt;=$L571))&gt;0,"⚠ Çakışma","OK")))</f>
        <v/>
      </c>
      <c r="Q571" s="28" t="str">
        <f aca="false">IF($A571="","",IF(OR($E571="",$H571="",$L571=""),"",IF(SUMPRODUCT(($A$7:$A$606&lt;&gt;"")*($E$7:$E$606=$E571)*($H$7:$H$606=$H571)*(ROW($A$7:$A$606)&lt;&gt;571)*($L$7:$L$606&lt;=$M571)*($M$7:$M$606&gt;=$L571))&gt;0,"⚠ Çakışma","OK")))</f>
        <v/>
      </c>
      <c r="R571" s="28" t="str">
        <f aca="false">IF($A571="","",IF(OR($N571&lt;&gt;"",$O571="⚠ Çakışma",$P571="⚠ Çakışma",$Q571="⚠ Çakışma"),"⚠ Kontrol Et","✓ Uygun"))</f>
        <v/>
      </c>
    </row>
    <row r="572" customFormat="false" ht="13.5" hidden="false" customHeight="true" outlineLevel="0" collapsed="false">
      <c r="A572" s="28" t="str">
        <f aca="false">IF('3-Turizm İşletmeciliği'!A169="","","Turizm İşletmeciliği")</f>
        <v/>
      </c>
      <c r="B572" s="28" t="str">
        <f aca="false">IF($A572="","",IF('3-Turizm İşletmeciliği'!A169="","",'3-Turizm İşletmeciliği'!A169))</f>
        <v/>
      </c>
      <c r="C572" s="29" t="str">
        <f aca="false">IF($A572="","",IF('3-Turizm İşletmeciliği'!B169="","",'3-Turizm İşletmeciliği'!B169))</f>
        <v/>
      </c>
      <c r="D572" s="28" t="str">
        <f aca="false">IF($A572="","",IF('3-Turizm İşletmeciliği'!C169="","",'3-Turizm İşletmeciliği'!C169))</f>
        <v/>
      </c>
      <c r="E572" s="28" t="str">
        <f aca="false">IF($A572="","",$A572&amp;"-"&amp;$D572)</f>
        <v/>
      </c>
      <c r="F572" s="28" t="str">
        <f aca="false">IF($A572="","",IF('3-Turizm İşletmeciliği'!D169="","",'3-Turizm İşletmeciliği'!D169))</f>
        <v/>
      </c>
      <c r="G572" s="28" t="str">
        <f aca="false">IF($A572="","",IF('3-Turizm İşletmeciliği'!E169="","",'3-Turizm İşletmeciliği'!E169))</f>
        <v/>
      </c>
      <c r="H572" s="28" t="str">
        <f aca="false">IF($A572="","",IF('3-Turizm İşletmeciliği'!F169="","",'3-Turizm İşletmeciliği'!F169))</f>
        <v/>
      </c>
      <c r="I572" s="28" t="str">
        <f aca="false">IF($A572="","",IF('3-Turizm İşletmeciliği'!G169="","",'3-Turizm İşletmeciliği'!G169))</f>
        <v/>
      </c>
      <c r="J572" s="28" t="str">
        <f aca="false">IF($A572="","",IF('3-Turizm İşletmeciliği'!H169="","",'3-Turizm İşletmeciliği'!H169))</f>
        <v/>
      </c>
      <c r="K572" s="28" t="str">
        <f aca="false">IF($A572="","",IF('3-Turizm İşletmeciliği'!I169="","",'3-Turizm İşletmeciliği'!I169))</f>
        <v/>
      </c>
      <c r="L572" s="28" t="str">
        <f aca="false">IF($I572="","",MATCH($I572,{"08.00";"09.00";"10.00";"11.00";"12.00";"13.00";"14.00";"15.00";"16.00";"17.00"},0))</f>
        <v/>
      </c>
      <c r="M572" s="28" t="str">
        <f aca="false">IF(OR($L572="",$J572=""),"",$L572+$J572-1)</f>
        <v/>
      </c>
      <c r="N572" s="28" t="str">
        <f aca="false">IF($A572="","",IF(OR($L572="",$M572=""),"",IF($M572&gt;10,"⚠ Saat Taşıyor","")))</f>
        <v/>
      </c>
      <c r="O572" s="28" t="str">
        <f aca="false">IF($A572="","",IF(OR($G572="",$H572="",$L572=""),"",IF(SUMPRODUCT(($A$7:$A$606&lt;&gt;"")*($G$7:$G$606=$G572)*($H$7:$H$606=$H572)*(ROW($A$7:$A$606)&lt;&gt;572)*($L$7:$L$606&lt;=$M572)*($M$7:$M$606&gt;=$L572))&gt;0,"⚠ Çakışma","OK")))</f>
        <v/>
      </c>
      <c r="P572" s="28" t="str">
        <f aca="false">IF($A572="","",IF(OR($K572="",$H572="",$L572=""),"",IF(SUMPRODUCT(($A$7:$A$606&lt;&gt;"")*($K$7:$K$606=$K572)*($H$7:$H$606=$H572)*(ROW($A$7:$A$606)&lt;&gt;572)*($L$7:$L$606&lt;=$M572)*($M$7:$M$606&gt;=$L572))&gt;0,"⚠ Çakışma","OK")))</f>
        <v/>
      </c>
      <c r="Q572" s="28" t="str">
        <f aca="false">IF($A572="","",IF(OR($E572="",$H572="",$L572=""),"",IF(SUMPRODUCT(($A$7:$A$606&lt;&gt;"")*($E$7:$E$606=$E572)*($H$7:$H$606=$H572)*(ROW($A$7:$A$606)&lt;&gt;572)*($L$7:$L$606&lt;=$M572)*($M$7:$M$606&gt;=$L572))&gt;0,"⚠ Çakışma","OK")))</f>
        <v/>
      </c>
      <c r="R572" s="28" t="str">
        <f aca="false">IF($A572="","",IF(OR($N572&lt;&gt;"",$O572="⚠ Çakışma",$P572="⚠ Çakışma",$Q572="⚠ Çakışma"),"⚠ Kontrol Et","✓ Uygun"))</f>
        <v/>
      </c>
    </row>
    <row r="573" customFormat="false" ht="13.5" hidden="false" customHeight="true" outlineLevel="0" collapsed="false">
      <c r="A573" s="28" t="str">
        <f aca="false">IF('3-Turizm İşletmeciliği'!A170="","","Turizm İşletmeciliği")</f>
        <v/>
      </c>
      <c r="B573" s="28" t="str">
        <f aca="false">IF($A573="","",IF('3-Turizm İşletmeciliği'!A170="","",'3-Turizm İşletmeciliği'!A170))</f>
        <v/>
      </c>
      <c r="C573" s="29" t="str">
        <f aca="false">IF($A573="","",IF('3-Turizm İşletmeciliği'!B170="","",'3-Turizm İşletmeciliği'!B170))</f>
        <v/>
      </c>
      <c r="D573" s="28" t="str">
        <f aca="false">IF($A573="","",IF('3-Turizm İşletmeciliği'!C170="","",'3-Turizm İşletmeciliği'!C170))</f>
        <v/>
      </c>
      <c r="E573" s="28" t="str">
        <f aca="false">IF($A573="","",$A573&amp;"-"&amp;$D573)</f>
        <v/>
      </c>
      <c r="F573" s="28" t="str">
        <f aca="false">IF($A573="","",IF('3-Turizm İşletmeciliği'!D170="","",'3-Turizm İşletmeciliği'!D170))</f>
        <v/>
      </c>
      <c r="G573" s="28" t="str">
        <f aca="false">IF($A573="","",IF('3-Turizm İşletmeciliği'!E170="","",'3-Turizm İşletmeciliği'!E170))</f>
        <v/>
      </c>
      <c r="H573" s="28" t="str">
        <f aca="false">IF($A573="","",IF('3-Turizm İşletmeciliği'!F170="","",'3-Turizm İşletmeciliği'!F170))</f>
        <v/>
      </c>
      <c r="I573" s="28" t="str">
        <f aca="false">IF($A573="","",IF('3-Turizm İşletmeciliği'!G170="","",'3-Turizm İşletmeciliği'!G170))</f>
        <v/>
      </c>
      <c r="J573" s="28" t="str">
        <f aca="false">IF($A573="","",IF('3-Turizm İşletmeciliği'!H170="","",'3-Turizm İşletmeciliği'!H170))</f>
        <v/>
      </c>
      <c r="K573" s="28" t="str">
        <f aca="false">IF($A573="","",IF('3-Turizm İşletmeciliği'!I170="","",'3-Turizm İşletmeciliği'!I170))</f>
        <v/>
      </c>
      <c r="L573" s="28" t="str">
        <f aca="false">IF($I573="","",MATCH($I573,{"08.00";"09.00";"10.00";"11.00";"12.00";"13.00";"14.00";"15.00";"16.00";"17.00"},0))</f>
        <v/>
      </c>
      <c r="M573" s="28" t="str">
        <f aca="false">IF(OR($L573="",$J573=""),"",$L573+$J573-1)</f>
        <v/>
      </c>
      <c r="N573" s="28" t="str">
        <f aca="false">IF($A573="","",IF(OR($L573="",$M573=""),"",IF($M573&gt;10,"⚠ Saat Taşıyor","")))</f>
        <v/>
      </c>
      <c r="O573" s="28" t="str">
        <f aca="false">IF($A573="","",IF(OR($G573="",$H573="",$L573=""),"",IF(SUMPRODUCT(($A$7:$A$606&lt;&gt;"")*($G$7:$G$606=$G573)*($H$7:$H$606=$H573)*(ROW($A$7:$A$606)&lt;&gt;573)*($L$7:$L$606&lt;=$M573)*($M$7:$M$606&gt;=$L573))&gt;0,"⚠ Çakışma","OK")))</f>
        <v/>
      </c>
      <c r="P573" s="28" t="str">
        <f aca="false">IF($A573="","",IF(OR($K573="",$H573="",$L573=""),"",IF(SUMPRODUCT(($A$7:$A$606&lt;&gt;"")*($K$7:$K$606=$K573)*($H$7:$H$606=$H573)*(ROW($A$7:$A$606)&lt;&gt;573)*($L$7:$L$606&lt;=$M573)*($M$7:$M$606&gt;=$L573))&gt;0,"⚠ Çakışma","OK")))</f>
        <v/>
      </c>
      <c r="Q573" s="28" t="str">
        <f aca="false">IF($A573="","",IF(OR($E573="",$H573="",$L573=""),"",IF(SUMPRODUCT(($A$7:$A$606&lt;&gt;"")*($E$7:$E$606=$E573)*($H$7:$H$606=$H573)*(ROW($A$7:$A$606)&lt;&gt;573)*($L$7:$L$606&lt;=$M573)*($M$7:$M$606&gt;=$L573))&gt;0,"⚠ Çakışma","OK")))</f>
        <v/>
      </c>
      <c r="R573" s="28" t="str">
        <f aca="false">IF($A573="","",IF(OR($N573&lt;&gt;"",$O573="⚠ Çakışma",$P573="⚠ Çakışma",$Q573="⚠ Çakışma"),"⚠ Kontrol Et","✓ Uygun"))</f>
        <v/>
      </c>
    </row>
    <row r="574" customFormat="false" ht="13.5" hidden="false" customHeight="true" outlineLevel="0" collapsed="false">
      <c r="A574" s="28" t="str">
        <f aca="false">IF('3-Turizm İşletmeciliği'!A171="","","Turizm İşletmeciliği")</f>
        <v/>
      </c>
      <c r="B574" s="28" t="str">
        <f aca="false">IF($A574="","",IF('3-Turizm İşletmeciliği'!A171="","",'3-Turizm İşletmeciliği'!A171))</f>
        <v/>
      </c>
      <c r="C574" s="29" t="str">
        <f aca="false">IF($A574="","",IF('3-Turizm İşletmeciliği'!B171="","",'3-Turizm İşletmeciliği'!B171))</f>
        <v/>
      </c>
      <c r="D574" s="28" t="str">
        <f aca="false">IF($A574="","",IF('3-Turizm İşletmeciliği'!C171="","",'3-Turizm İşletmeciliği'!C171))</f>
        <v/>
      </c>
      <c r="E574" s="28" t="str">
        <f aca="false">IF($A574="","",$A574&amp;"-"&amp;$D574)</f>
        <v/>
      </c>
      <c r="F574" s="28" t="str">
        <f aca="false">IF($A574="","",IF('3-Turizm İşletmeciliği'!D171="","",'3-Turizm İşletmeciliği'!D171))</f>
        <v/>
      </c>
      <c r="G574" s="28" t="str">
        <f aca="false">IF($A574="","",IF('3-Turizm İşletmeciliği'!E171="","",'3-Turizm İşletmeciliği'!E171))</f>
        <v/>
      </c>
      <c r="H574" s="28" t="str">
        <f aca="false">IF($A574="","",IF('3-Turizm İşletmeciliği'!F171="","",'3-Turizm İşletmeciliği'!F171))</f>
        <v/>
      </c>
      <c r="I574" s="28" t="str">
        <f aca="false">IF($A574="","",IF('3-Turizm İşletmeciliği'!G171="","",'3-Turizm İşletmeciliği'!G171))</f>
        <v/>
      </c>
      <c r="J574" s="28" t="str">
        <f aca="false">IF($A574="","",IF('3-Turizm İşletmeciliği'!H171="","",'3-Turizm İşletmeciliği'!H171))</f>
        <v/>
      </c>
      <c r="K574" s="28" t="str">
        <f aca="false">IF($A574="","",IF('3-Turizm İşletmeciliği'!I171="","",'3-Turizm İşletmeciliği'!I171))</f>
        <v/>
      </c>
      <c r="L574" s="28" t="str">
        <f aca="false">IF($I574="","",MATCH($I574,{"08.00";"09.00";"10.00";"11.00";"12.00";"13.00";"14.00";"15.00";"16.00";"17.00"},0))</f>
        <v/>
      </c>
      <c r="M574" s="28" t="str">
        <f aca="false">IF(OR($L574="",$J574=""),"",$L574+$J574-1)</f>
        <v/>
      </c>
      <c r="N574" s="28" t="str">
        <f aca="false">IF($A574="","",IF(OR($L574="",$M574=""),"",IF($M574&gt;10,"⚠ Saat Taşıyor","")))</f>
        <v/>
      </c>
      <c r="O574" s="28" t="str">
        <f aca="false">IF($A574="","",IF(OR($G574="",$H574="",$L574=""),"",IF(SUMPRODUCT(($A$7:$A$606&lt;&gt;"")*($G$7:$G$606=$G574)*($H$7:$H$606=$H574)*(ROW($A$7:$A$606)&lt;&gt;574)*($L$7:$L$606&lt;=$M574)*($M$7:$M$606&gt;=$L574))&gt;0,"⚠ Çakışma","OK")))</f>
        <v/>
      </c>
      <c r="P574" s="28" t="str">
        <f aca="false">IF($A574="","",IF(OR($K574="",$H574="",$L574=""),"",IF(SUMPRODUCT(($A$7:$A$606&lt;&gt;"")*($K$7:$K$606=$K574)*($H$7:$H$606=$H574)*(ROW($A$7:$A$606)&lt;&gt;574)*($L$7:$L$606&lt;=$M574)*($M$7:$M$606&gt;=$L574))&gt;0,"⚠ Çakışma","OK")))</f>
        <v/>
      </c>
      <c r="Q574" s="28" t="str">
        <f aca="false">IF($A574="","",IF(OR($E574="",$H574="",$L574=""),"",IF(SUMPRODUCT(($A$7:$A$606&lt;&gt;"")*($E$7:$E$606=$E574)*($H$7:$H$606=$H574)*(ROW($A$7:$A$606)&lt;&gt;574)*($L$7:$L$606&lt;=$M574)*($M$7:$M$606&gt;=$L574))&gt;0,"⚠ Çakışma","OK")))</f>
        <v/>
      </c>
      <c r="R574" s="28" t="str">
        <f aca="false">IF($A574="","",IF(OR($N574&lt;&gt;"",$O574="⚠ Çakışma",$P574="⚠ Çakışma",$Q574="⚠ Çakışma"),"⚠ Kontrol Et","✓ Uygun"))</f>
        <v/>
      </c>
    </row>
    <row r="575" customFormat="false" ht="13.5" hidden="false" customHeight="true" outlineLevel="0" collapsed="false">
      <c r="A575" s="28" t="str">
        <f aca="false">IF('3-Turizm İşletmeciliği'!A172="","","Turizm İşletmeciliği")</f>
        <v/>
      </c>
      <c r="B575" s="28" t="str">
        <f aca="false">IF($A575="","",IF('3-Turizm İşletmeciliği'!A172="","",'3-Turizm İşletmeciliği'!A172))</f>
        <v/>
      </c>
      <c r="C575" s="29" t="str">
        <f aca="false">IF($A575="","",IF('3-Turizm İşletmeciliği'!B172="","",'3-Turizm İşletmeciliği'!B172))</f>
        <v/>
      </c>
      <c r="D575" s="28" t="str">
        <f aca="false">IF($A575="","",IF('3-Turizm İşletmeciliği'!C172="","",'3-Turizm İşletmeciliği'!C172))</f>
        <v/>
      </c>
      <c r="E575" s="28" t="str">
        <f aca="false">IF($A575="","",$A575&amp;"-"&amp;$D575)</f>
        <v/>
      </c>
      <c r="F575" s="28" t="str">
        <f aca="false">IF($A575="","",IF('3-Turizm İşletmeciliği'!D172="","",'3-Turizm İşletmeciliği'!D172))</f>
        <v/>
      </c>
      <c r="G575" s="28" t="str">
        <f aca="false">IF($A575="","",IF('3-Turizm İşletmeciliği'!E172="","",'3-Turizm İşletmeciliği'!E172))</f>
        <v/>
      </c>
      <c r="H575" s="28" t="str">
        <f aca="false">IF($A575="","",IF('3-Turizm İşletmeciliği'!F172="","",'3-Turizm İşletmeciliği'!F172))</f>
        <v/>
      </c>
      <c r="I575" s="28" t="str">
        <f aca="false">IF($A575="","",IF('3-Turizm İşletmeciliği'!G172="","",'3-Turizm İşletmeciliği'!G172))</f>
        <v/>
      </c>
      <c r="J575" s="28" t="str">
        <f aca="false">IF($A575="","",IF('3-Turizm İşletmeciliği'!H172="","",'3-Turizm İşletmeciliği'!H172))</f>
        <v/>
      </c>
      <c r="K575" s="28" t="str">
        <f aca="false">IF($A575="","",IF('3-Turizm İşletmeciliği'!I172="","",'3-Turizm İşletmeciliği'!I172))</f>
        <v/>
      </c>
      <c r="L575" s="28" t="str">
        <f aca="false">IF($I575="","",MATCH($I575,{"08.00";"09.00";"10.00";"11.00";"12.00";"13.00";"14.00";"15.00";"16.00";"17.00"},0))</f>
        <v/>
      </c>
      <c r="M575" s="28" t="str">
        <f aca="false">IF(OR($L575="",$J575=""),"",$L575+$J575-1)</f>
        <v/>
      </c>
      <c r="N575" s="28" t="str">
        <f aca="false">IF($A575="","",IF(OR($L575="",$M575=""),"",IF($M575&gt;10,"⚠ Saat Taşıyor","")))</f>
        <v/>
      </c>
      <c r="O575" s="28" t="str">
        <f aca="false">IF($A575="","",IF(OR($G575="",$H575="",$L575=""),"",IF(SUMPRODUCT(($A$7:$A$606&lt;&gt;"")*($G$7:$G$606=$G575)*($H$7:$H$606=$H575)*(ROW($A$7:$A$606)&lt;&gt;575)*($L$7:$L$606&lt;=$M575)*($M$7:$M$606&gt;=$L575))&gt;0,"⚠ Çakışma","OK")))</f>
        <v/>
      </c>
      <c r="P575" s="28" t="str">
        <f aca="false">IF($A575="","",IF(OR($K575="",$H575="",$L575=""),"",IF(SUMPRODUCT(($A$7:$A$606&lt;&gt;"")*($K$7:$K$606=$K575)*($H$7:$H$606=$H575)*(ROW($A$7:$A$606)&lt;&gt;575)*($L$7:$L$606&lt;=$M575)*($M$7:$M$606&gt;=$L575))&gt;0,"⚠ Çakışma","OK")))</f>
        <v/>
      </c>
      <c r="Q575" s="28" t="str">
        <f aca="false">IF($A575="","",IF(OR($E575="",$H575="",$L575=""),"",IF(SUMPRODUCT(($A$7:$A$606&lt;&gt;"")*($E$7:$E$606=$E575)*($H$7:$H$606=$H575)*(ROW($A$7:$A$606)&lt;&gt;575)*($L$7:$L$606&lt;=$M575)*($M$7:$M$606&gt;=$L575))&gt;0,"⚠ Çakışma","OK")))</f>
        <v/>
      </c>
      <c r="R575" s="28" t="str">
        <f aca="false">IF($A575="","",IF(OR($N575&lt;&gt;"",$O575="⚠ Çakışma",$P575="⚠ Çakışma",$Q575="⚠ Çakışma"),"⚠ Kontrol Et","✓ Uygun"))</f>
        <v/>
      </c>
    </row>
    <row r="576" customFormat="false" ht="13.5" hidden="false" customHeight="true" outlineLevel="0" collapsed="false">
      <c r="A576" s="28" t="str">
        <f aca="false">IF('3-Turizm İşletmeciliği'!A173="","","Turizm İşletmeciliği")</f>
        <v/>
      </c>
      <c r="B576" s="28" t="str">
        <f aca="false">IF($A576="","",IF('3-Turizm İşletmeciliği'!A173="","",'3-Turizm İşletmeciliği'!A173))</f>
        <v/>
      </c>
      <c r="C576" s="29" t="str">
        <f aca="false">IF($A576="","",IF('3-Turizm İşletmeciliği'!B173="","",'3-Turizm İşletmeciliği'!B173))</f>
        <v/>
      </c>
      <c r="D576" s="28" t="str">
        <f aca="false">IF($A576="","",IF('3-Turizm İşletmeciliği'!C173="","",'3-Turizm İşletmeciliği'!C173))</f>
        <v/>
      </c>
      <c r="E576" s="28" t="str">
        <f aca="false">IF($A576="","",$A576&amp;"-"&amp;$D576)</f>
        <v/>
      </c>
      <c r="F576" s="28" t="str">
        <f aca="false">IF($A576="","",IF('3-Turizm İşletmeciliği'!D173="","",'3-Turizm İşletmeciliği'!D173))</f>
        <v/>
      </c>
      <c r="G576" s="28" t="str">
        <f aca="false">IF($A576="","",IF('3-Turizm İşletmeciliği'!E173="","",'3-Turizm İşletmeciliği'!E173))</f>
        <v/>
      </c>
      <c r="H576" s="28" t="str">
        <f aca="false">IF($A576="","",IF('3-Turizm İşletmeciliği'!F173="","",'3-Turizm İşletmeciliği'!F173))</f>
        <v/>
      </c>
      <c r="I576" s="28" t="str">
        <f aca="false">IF($A576="","",IF('3-Turizm İşletmeciliği'!G173="","",'3-Turizm İşletmeciliği'!G173))</f>
        <v/>
      </c>
      <c r="J576" s="28" t="str">
        <f aca="false">IF($A576="","",IF('3-Turizm İşletmeciliği'!H173="","",'3-Turizm İşletmeciliği'!H173))</f>
        <v/>
      </c>
      <c r="K576" s="28" t="str">
        <f aca="false">IF($A576="","",IF('3-Turizm İşletmeciliği'!I173="","",'3-Turizm İşletmeciliği'!I173))</f>
        <v/>
      </c>
      <c r="L576" s="28" t="str">
        <f aca="false">IF($I576="","",MATCH($I576,{"08.00";"09.00";"10.00";"11.00";"12.00";"13.00";"14.00";"15.00";"16.00";"17.00"},0))</f>
        <v/>
      </c>
      <c r="M576" s="28" t="str">
        <f aca="false">IF(OR($L576="",$J576=""),"",$L576+$J576-1)</f>
        <v/>
      </c>
      <c r="N576" s="28" t="str">
        <f aca="false">IF($A576="","",IF(OR($L576="",$M576=""),"",IF($M576&gt;10,"⚠ Saat Taşıyor","")))</f>
        <v/>
      </c>
      <c r="O576" s="28" t="str">
        <f aca="false">IF($A576="","",IF(OR($G576="",$H576="",$L576=""),"",IF(SUMPRODUCT(($A$7:$A$606&lt;&gt;"")*($G$7:$G$606=$G576)*($H$7:$H$606=$H576)*(ROW($A$7:$A$606)&lt;&gt;576)*($L$7:$L$606&lt;=$M576)*($M$7:$M$606&gt;=$L576))&gt;0,"⚠ Çakışma","OK")))</f>
        <v/>
      </c>
      <c r="P576" s="28" t="str">
        <f aca="false">IF($A576="","",IF(OR($K576="",$H576="",$L576=""),"",IF(SUMPRODUCT(($A$7:$A$606&lt;&gt;"")*($K$7:$K$606=$K576)*($H$7:$H$606=$H576)*(ROW($A$7:$A$606)&lt;&gt;576)*($L$7:$L$606&lt;=$M576)*($M$7:$M$606&gt;=$L576))&gt;0,"⚠ Çakışma","OK")))</f>
        <v/>
      </c>
      <c r="Q576" s="28" t="str">
        <f aca="false">IF($A576="","",IF(OR($E576="",$H576="",$L576=""),"",IF(SUMPRODUCT(($A$7:$A$606&lt;&gt;"")*($E$7:$E$606=$E576)*($H$7:$H$606=$H576)*(ROW($A$7:$A$606)&lt;&gt;576)*($L$7:$L$606&lt;=$M576)*($M$7:$M$606&gt;=$L576))&gt;0,"⚠ Çakışma","OK")))</f>
        <v/>
      </c>
      <c r="R576" s="28" t="str">
        <f aca="false">IF($A576="","",IF(OR($N576&lt;&gt;"",$O576="⚠ Çakışma",$P576="⚠ Çakışma",$Q576="⚠ Çakışma"),"⚠ Kontrol Et","✓ Uygun"))</f>
        <v/>
      </c>
    </row>
    <row r="577" customFormat="false" ht="13.5" hidden="false" customHeight="true" outlineLevel="0" collapsed="false">
      <c r="A577" s="28" t="str">
        <f aca="false">IF('3-Turizm İşletmeciliği'!A174="","","Turizm İşletmeciliği")</f>
        <v/>
      </c>
      <c r="B577" s="28" t="str">
        <f aca="false">IF($A577="","",IF('3-Turizm İşletmeciliği'!A174="","",'3-Turizm İşletmeciliği'!A174))</f>
        <v/>
      </c>
      <c r="C577" s="29" t="str">
        <f aca="false">IF($A577="","",IF('3-Turizm İşletmeciliği'!B174="","",'3-Turizm İşletmeciliği'!B174))</f>
        <v/>
      </c>
      <c r="D577" s="28" t="str">
        <f aca="false">IF($A577="","",IF('3-Turizm İşletmeciliği'!C174="","",'3-Turizm İşletmeciliği'!C174))</f>
        <v/>
      </c>
      <c r="E577" s="28" t="str">
        <f aca="false">IF($A577="","",$A577&amp;"-"&amp;$D577)</f>
        <v/>
      </c>
      <c r="F577" s="28" t="str">
        <f aca="false">IF($A577="","",IF('3-Turizm İşletmeciliği'!D174="","",'3-Turizm İşletmeciliği'!D174))</f>
        <v/>
      </c>
      <c r="G577" s="28" t="str">
        <f aca="false">IF($A577="","",IF('3-Turizm İşletmeciliği'!E174="","",'3-Turizm İşletmeciliği'!E174))</f>
        <v/>
      </c>
      <c r="H577" s="28" t="str">
        <f aca="false">IF($A577="","",IF('3-Turizm İşletmeciliği'!F174="","",'3-Turizm İşletmeciliği'!F174))</f>
        <v/>
      </c>
      <c r="I577" s="28" t="str">
        <f aca="false">IF($A577="","",IF('3-Turizm İşletmeciliği'!G174="","",'3-Turizm İşletmeciliği'!G174))</f>
        <v/>
      </c>
      <c r="J577" s="28" t="str">
        <f aca="false">IF($A577="","",IF('3-Turizm İşletmeciliği'!H174="","",'3-Turizm İşletmeciliği'!H174))</f>
        <v/>
      </c>
      <c r="K577" s="28" t="str">
        <f aca="false">IF($A577="","",IF('3-Turizm İşletmeciliği'!I174="","",'3-Turizm İşletmeciliği'!I174))</f>
        <v/>
      </c>
      <c r="L577" s="28" t="str">
        <f aca="false">IF($I577="","",MATCH($I577,{"08.00";"09.00";"10.00";"11.00";"12.00";"13.00";"14.00";"15.00";"16.00";"17.00"},0))</f>
        <v/>
      </c>
      <c r="M577" s="28" t="str">
        <f aca="false">IF(OR($L577="",$J577=""),"",$L577+$J577-1)</f>
        <v/>
      </c>
      <c r="N577" s="28" t="str">
        <f aca="false">IF($A577="","",IF(OR($L577="",$M577=""),"",IF($M577&gt;10,"⚠ Saat Taşıyor","")))</f>
        <v/>
      </c>
      <c r="O577" s="28" t="str">
        <f aca="false">IF($A577="","",IF(OR($G577="",$H577="",$L577=""),"",IF(SUMPRODUCT(($A$7:$A$606&lt;&gt;"")*($G$7:$G$606=$G577)*($H$7:$H$606=$H577)*(ROW($A$7:$A$606)&lt;&gt;577)*($L$7:$L$606&lt;=$M577)*($M$7:$M$606&gt;=$L577))&gt;0,"⚠ Çakışma","OK")))</f>
        <v/>
      </c>
      <c r="P577" s="28" t="str">
        <f aca="false">IF($A577="","",IF(OR($K577="",$H577="",$L577=""),"",IF(SUMPRODUCT(($A$7:$A$606&lt;&gt;"")*($K$7:$K$606=$K577)*($H$7:$H$606=$H577)*(ROW($A$7:$A$606)&lt;&gt;577)*($L$7:$L$606&lt;=$M577)*($M$7:$M$606&gt;=$L577))&gt;0,"⚠ Çakışma","OK")))</f>
        <v/>
      </c>
      <c r="Q577" s="28" t="str">
        <f aca="false">IF($A577="","",IF(OR($E577="",$H577="",$L577=""),"",IF(SUMPRODUCT(($A$7:$A$606&lt;&gt;"")*($E$7:$E$606=$E577)*($H$7:$H$606=$H577)*(ROW($A$7:$A$606)&lt;&gt;577)*($L$7:$L$606&lt;=$M577)*($M$7:$M$606&gt;=$L577))&gt;0,"⚠ Çakışma","OK")))</f>
        <v/>
      </c>
      <c r="R577" s="28" t="str">
        <f aca="false">IF($A577="","",IF(OR($N577&lt;&gt;"",$O577="⚠ Çakışma",$P577="⚠ Çakışma",$Q577="⚠ Çakışma"),"⚠ Kontrol Et","✓ Uygun"))</f>
        <v/>
      </c>
    </row>
    <row r="578" customFormat="false" ht="13.5" hidden="false" customHeight="true" outlineLevel="0" collapsed="false">
      <c r="A578" s="28" t="str">
        <f aca="false">IF('3-Turizm İşletmeciliği'!A175="","","Turizm İşletmeciliği")</f>
        <v/>
      </c>
      <c r="B578" s="28" t="str">
        <f aca="false">IF($A578="","",IF('3-Turizm İşletmeciliği'!A175="","",'3-Turizm İşletmeciliği'!A175))</f>
        <v/>
      </c>
      <c r="C578" s="29" t="str">
        <f aca="false">IF($A578="","",IF('3-Turizm İşletmeciliği'!B175="","",'3-Turizm İşletmeciliği'!B175))</f>
        <v/>
      </c>
      <c r="D578" s="28" t="str">
        <f aca="false">IF($A578="","",IF('3-Turizm İşletmeciliği'!C175="","",'3-Turizm İşletmeciliği'!C175))</f>
        <v/>
      </c>
      <c r="E578" s="28" t="str">
        <f aca="false">IF($A578="","",$A578&amp;"-"&amp;$D578)</f>
        <v/>
      </c>
      <c r="F578" s="28" t="str">
        <f aca="false">IF($A578="","",IF('3-Turizm İşletmeciliği'!D175="","",'3-Turizm İşletmeciliği'!D175))</f>
        <v/>
      </c>
      <c r="G578" s="28" t="str">
        <f aca="false">IF($A578="","",IF('3-Turizm İşletmeciliği'!E175="","",'3-Turizm İşletmeciliği'!E175))</f>
        <v/>
      </c>
      <c r="H578" s="28" t="str">
        <f aca="false">IF($A578="","",IF('3-Turizm İşletmeciliği'!F175="","",'3-Turizm İşletmeciliği'!F175))</f>
        <v/>
      </c>
      <c r="I578" s="28" t="str">
        <f aca="false">IF($A578="","",IF('3-Turizm İşletmeciliği'!G175="","",'3-Turizm İşletmeciliği'!G175))</f>
        <v/>
      </c>
      <c r="J578" s="28" t="str">
        <f aca="false">IF($A578="","",IF('3-Turizm İşletmeciliği'!H175="","",'3-Turizm İşletmeciliği'!H175))</f>
        <v/>
      </c>
      <c r="K578" s="28" t="str">
        <f aca="false">IF($A578="","",IF('3-Turizm İşletmeciliği'!I175="","",'3-Turizm İşletmeciliği'!I175))</f>
        <v/>
      </c>
      <c r="L578" s="28" t="str">
        <f aca="false">IF($I578="","",MATCH($I578,{"08.00";"09.00";"10.00";"11.00";"12.00";"13.00";"14.00";"15.00";"16.00";"17.00"},0))</f>
        <v/>
      </c>
      <c r="M578" s="28" t="str">
        <f aca="false">IF(OR($L578="",$J578=""),"",$L578+$J578-1)</f>
        <v/>
      </c>
      <c r="N578" s="28" t="str">
        <f aca="false">IF($A578="","",IF(OR($L578="",$M578=""),"",IF($M578&gt;10,"⚠ Saat Taşıyor","")))</f>
        <v/>
      </c>
      <c r="O578" s="28" t="str">
        <f aca="false">IF($A578="","",IF(OR($G578="",$H578="",$L578=""),"",IF(SUMPRODUCT(($A$7:$A$606&lt;&gt;"")*($G$7:$G$606=$G578)*($H$7:$H$606=$H578)*(ROW($A$7:$A$606)&lt;&gt;578)*($L$7:$L$606&lt;=$M578)*($M$7:$M$606&gt;=$L578))&gt;0,"⚠ Çakışma","OK")))</f>
        <v/>
      </c>
      <c r="P578" s="28" t="str">
        <f aca="false">IF($A578="","",IF(OR($K578="",$H578="",$L578=""),"",IF(SUMPRODUCT(($A$7:$A$606&lt;&gt;"")*($K$7:$K$606=$K578)*($H$7:$H$606=$H578)*(ROW($A$7:$A$606)&lt;&gt;578)*($L$7:$L$606&lt;=$M578)*($M$7:$M$606&gt;=$L578))&gt;0,"⚠ Çakışma","OK")))</f>
        <v/>
      </c>
      <c r="Q578" s="28" t="str">
        <f aca="false">IF($A578="","",IF(OR($E578="",$H578="",$L578=""),"",IF(SUMPRODUCT(($A$7:$A$606&lt;&gt;"")*($E$7:$E$606=$E578)*($H$7:$H$606=$H578)*(ROW($A$7:$A$606)&lt;&gt;578)*($L$7:$L$606&lt;=$M578)*($M$7:$M$606&gt;=$L578))&gt;0,"⚠ Çakışma","OK")))</f>
        <v/>
      </c>
      <c r="R578" s="28" t="str">
        <f aca="false">IF($A578="","",IF(OR($N578&lt;&gt;"",$O578="⚠ Çakışma",$P578="⚠ Çakışma",$Q578="⚠ Çakışma"),"⚠ Kontrol Et","✓ Uygun"))</f>
        <v/>
      </c>
    </row>
    <row r="579" customFormat="false" ht="13.5" hidden="false" customHeight="true" outlineLevel="0" collapsed="false">
      <c r="A579" s="28" t="str">
        <f aca="false">IF('3-Turizm İşletmeciliği'!A176="","","Turizm İşletmeciliği")</f>
        <v/>
      </c>
      <c r="B579" s="28" t="str">
        <f aca="false">IF($A579="","",IF('3-Turizm İşletmeciliği'!A176="","",'3-Turizm İşletmeciliği'!A176))</f>
        <v/>
      </c>
      <c r="C579" s="29" t="str">
        <f aca="false">IF($A579="","",IF('3-Turizm İşletmeciliği'!B176="","",'3-Turizm İşletmeciliği'!B176))</f>
        <v/>
      </c>
      <c r="D579" s="28" t="str">
        <f aca="false">IF($A579="","",IF('3-Turizm İşletmeciliği'!C176="","",'3-Turizm İşletmeciliği'!C176))</f>
        <v/>
      </c>
      <c r="E579" s="28" t="str">
        <f aca="false">IF($A579="","",$A579&amp;"-"&amp;$D579)</f>
        <v/>
      </c>
      <c r="F579" s="28" t="str">
        <f aca="false">IF($A579="","",IF('3-Turizm İşletmeciliği'!D176="","",'3-Turizm İşletmeciliği'!D176))</f>
        <v/>
      </c>
      <c r="G579" s="28" t="str">
        <f aca="false">IF($A579="","",IF('3-Turizm İşletmeciliği'!E176="","",'3-Turizm İşletmeciliği'!E176))</f>
        <v/>
      </c>
      <c r="H579" s="28" t="str">
        <f aca="false">IF($A579="","",IF('3-Turizm İşletmeciliği'!F176="","",'3-Turizm İşletmeciliği'!F176))</f>
        <v/>
      </c>
      <c r="I579" s="28" t="str">
        <f aca="false">IF($A579="","",IF('3-Turizm İşletmeciliği'!G176="","",'3-Turizm İşletmeciliği'!G176))</f>
        <v/>
      </c>
      <c r="J579" s="28" t="str">
        <f aca="false">IF($A579="","",IF('3-Turizm İşletmeciliği'!H176="","",'3-Turizm İşletmeciliği'!H176))</f>
        <v/>
      </c>
      <c r="K579" s="28" t="str">
        <f aca="false">IF($A579="","",IF('3-Turizm İşletmeciliği'!I176="","",'3-Turizm İşletmeciliği'!I176))</f>
        <v/>
      </c>
      <c r="L579" s="28" t="str">
        <f aca="false">IF($I579="","",MATCH($I579,{"08.00";"09.00";"10.00";"11.00";"12.00";"13.00";"14.00";"15.00";"16.00";"17.00"},0))</f>
        <v/>
      </c>
      <c r="M579" s="28" t="str">
        <f aca="false">IF(OR($L579="",$J579=""),"",$L579+$J579-1)</f>
        <v/>
      </c>
      <c r="N579" s="28" t="str">
        <f aca="false">IF($A579="","",IF(OR($L579="",$M579=""),"",IF($M579&gt;10,"⚠ Saat Taşıyor","")))</f>
        <v/>
      </c>
      <c r="O579" s="28" t="str">
        <f aca="false">IF($A579="","",IF(OR($G579="",$H579="",$L579=""),"",IF(SUMPRODUCT(($A$7:$A$606&lt;&gt;"")*($G$7:$G$606=$G579)*($H$7:$H$606=$H579)*(ROW($A$7:$A$606)&lt;&gt;579)*($L$7:$L$606&lt;=$M579)*($M$7:$M$606&gt;=$L579))&gt;0,"⚠ Çakışma","OK")))</f>
        <v/>
      </c>
      <c r="P579" s="28" t="str">
        <f aca="false">IF($A579="","",IF(OR($K579="",$H579="",$L579=""),"",IF(SUMPRODUCT(($A$7:$A$606&lt;&gt;"")*($K$7:$K$606=$K579)*($H$7:$H$606=$H579)*(ROW($A$7:$A$606)&lt;&gt;579)*($L$7:$L$606&lt;=$M579)*($M$7:$M$606&gt;=$L579))&gt;0,"⚠ Çakışma","OK")))</f>
        <v/>
      </c>
      <c r="Q579" s="28" t="str">
        <f aca="false">IF($A579="","",IF(OR($E579="",$H579="",$L579=""),"",IF(SUMPRODUCT(($A$7:$A$606&lt;&gt;"")*($E$7:$E$606=$E579)*($H$7:$H$606=$H579)*(ROW($A$7:$A$606)&lt;&gt;579)*($L$7:$L$606&lt;=$M579)*($M$7:$M$606&gt;=$L579))&gt;0,"⚠ Çakışma","OK")))</f>
        <v/>
      </c>
      <c r="R579" s="28" t="str">
        <f aca="false">IF($A579="","",IF(OR($N579&lt;&gt;"",$O579="⚠ Çakışma",$P579="⚠ Çakışma",$Q579="⚠ Çakışma"),"⚠ Kontrol Et","✓ Uygun"))</f>
        <v/>
      </c>
    </row>
    <row r="580" customFormat="false" ht="13.5" hidden="false" customHeight="true" outlineLevel="0" collapsed="false">
      <c r="A580" s="28" t="str">
        <f aca="false">IF('3-Turizm İşletmeciliği'!A177="","","Turizm İşletmeciliği")</f>
        <v/>
      </c>
      <c r="B580" s="28" t="str">
        <f aca="false">IF($A580="","",IF('3-Turizm İşletmeciliği'!A177="","",'3-Turizm İşletmeciliği'!A177))</f>
        <v/>
      </c>
      <c r="C580" s="29" t="str">
        <f aca="false">IF($A580="","",IF('3-Turizm İşletmeciliği'!B177="","",'3-Turizm İşletmeciliği'!B177))</f>
        <v/>
      </c>
      <c r="D580" s="28" t="str">
        <f aca="false">IF($A580="","",IF('3-Turizm İşletmeciliği'!C177="","",'3-Turizm İşletmeciliği'!C177))</f>
        <v/>
      </c>
      <c r="E580" s="28" t="str">
        <f aca="false">IF($A580="","",$A580&amp;"-"&amp;$D580)</f>
        <v/>
      </c>
      <c r="F580" s="28" t="str">
        <f aca="false">IF($A580="","",IF('3-Turizm İşletmeciliği'!D177="","",'3-Turizm İşletmeciliği'!D177))</f>
        <v/>
      </c>
      <c r="G580" s="28" t="str">
        <f aca="false">IF($A580="","",IF('3-Turizm İşletmeciliği'!E177="","",'3-Turizm İşletmeciliği'!E177))</f>
        <v/>
      </c>
      <c r="H580" s="28" t="str">
        <f aca="false">IF($A580="","",IF('3-Turizm İşletmeciliği'!F177="","",'3-Turizm İşletmeciliği'!F177))</f>
        <v/>
      </c>
      <c r="I580" s="28" t="str">
        <f aca="false">IF($A580="","",IF('3-Turizm İşletmeciliği'!G177="","",'3-Turizm İşletmeciliği'!G177))</f>
        <v/>
      </c>
      <c r="J580" s="28" t="str">
        <f aca="false">IF($A580="","",IF('3-Turizm İşletmeciliği'!H177="","",'3-Turizm İşletmeciliği'!H177))</f>
        <v/>
      </c>
      <c r="K580" s="28" t="str">
        <f aca="false">IF($A580="","",IF('3-Turizm İşletmeciliği'!I177="","",'3-Turizm İşletmeciliği'!I177))</f>
        <v/>
      </c>
      <c r="L580" s="28" t="str">
        <f aca="false">IF($I580="","",MATCH($I580,{"08.00";"09.00";"10.00";"11.00";"12.00";"13.00";"14.00";"15.00";"16.00";"17.00"},0))</f>
        <v/>
      </c>
      <c r="M580" s="28" t="str">
        <f aca="false">IF(OR($L580="",$J580=""),"",$L580+$J580-1)</f>
        <v/>
      </c>
      <c r="N580" s="28" t="str">
        <f aca="false">IF($A580="","",IF(OR($L580="",$M580=""),"",IF($M580&gt;10,"⚠ Saat Taşıyor","")))</f>
        <v/>
      </c>
      <c r="O580" s="28" t="str">
        <f aca="false">IF($A580="","",IF(OR($G580="",$H580="",$L580=""),"",IF(SUMPRODUCT(($A$7:$A$606&lt;&gt;"")*($G$7:$G$606=$G580)*($H$7:$H$606=$H580)*(ROW($A$7:$A$606)&lt;&gt;580)*($L$7:$L$606&lt;=$M580)*($M$7:$M$606&gt;=$L580))&gt;0,"⚠ Çakışma","OK")))</f>
        <v/>
      </c>
      <c r="P580" s="28" t="str">
        <f aca="false">IF($A580="","",IF(OR($K580="",$H580="",$L580=""),"",IF(SUMPRODUCT(($A$7:$A$606&lt;&gt;"")*($K$7:$K$606=$K580)*($H$7:$H$606=$H580)*(ROW($A$7:$A$606)&lt;&gt;580)*($L$7:$L$606&lt;=$M580)*($M$7:$M$606&gt;=$L580))&gt;0,"⚠ Çakışma","OK")))</f>
        <v/>
      </c>
      <c r="Q580" s="28" t="str">
        <f aca="false">IF($A580="","",IF(OR($E580="",$H580="",$L580=""),"",IF(SUMPRODUCT(($A$7:$A$606&lt;&gt;"")*($E$7:$E$606=$E580)*($H$7:$H$606=$H580)*(ROW($A$7:$A$606)&lt;&gt;580)*($L$7:$L$606&lt;=$M580)*($M$7:$M$606&gt;=$L580))&gt;0,"⚠ Çakışma","OK")))</f>
        <v/>
      </c>
      <c r="R580" s="28" t="str">
        <f aca="false">IF($A580="","",IF(OR($N580&lt;&gt;"",$O580="⚠ Çakışma",$P580="⚠ Çakışma",$Q580="⚠ Çakışma"),"⚠ Kontrol Et","✓ Uygun"))</f>
        <v/>
      </c>
    </row>
    <row r="581" customFormat="false" ht="13.5" hidden="false" customHeight="true" outlineLevel="0" collapsed="false">
      <c r="A581" s="28" t="str">
        <f aca="false">IF('3-Turizm İşletmeciliği'!A178="","","Turizm İşletmeciliği")</f>
        <v/>
      </c>
      <c r="B581" s="28" t="str">
        <f aca="false">IF($A581="","",IF('3-Turizm İşletmeciliği'!A178="","",'3-Turizm İşletmeciliği'!A178))</f>
        <v/>
      </c>
      <c r="C581" s="29" t="str">
        <f aca="false">IF($A581="","",IF('3-Turizm İşletmeciliği'!B178="","",'3-Turizm İşletmeciliği'!B178))</f>
        <v/>
      </c>
      <c r="D581" s="28" t="str">
        <f aca="false">IF($A581="","",IF('3-Turizm İşletmeciliği'!C178="","",'3-Turizm İşletmeciliği'!C178))</f>
        <v/>
      </c>
      <c r="E581" s="28" t="str">
        <f aca="false">IF($A581="","",$A581&amp;"-"&amp;$D581)</f>
        <v/>
      </c>
      <c r="F581" s="28" t="str">
        <f aca="false">IF($A581="","",IF('3-Turizm İşletmeciliği'!D178="","",'3-Turizm İşletmeciliği'!D178))</f>
        <v/>
      </c>
      <c r="G581" s="28" t="str">
        <f aca="false">IF($A581="","",IF('3-Turizm İşletmeciliği'!E178="","",'3-Turizm İşletmeciliği'!E178))</f>
        <v/>
      </c>
      <c r="H581" s="28" t="str">
        <f aca="false">IF($A581="","",IF('3-Turizm İşletmeciliği'!F178="","",'3-Turizm İşletmeciliği'!F178))</f>
        <v/>
      </c>
      <c r="I581" s="28" t="str">
        <f aca="false">IF($A581="","",IF('3-Turizm İşletmeciliği'!G178="","",'3-Turizm İşletmeciliği'!G178))</f>
        <v/>
      </c>
      <c r="J581" s="28" t="str">
        <f aca="false">IF($A581="","",IF('3-Turizm İşletmeciliği'!H178="","",'3-Turizm İşletmeciliği'!H178))</f>
        <v/>
      </c>
      <c r="K581" s="28" t="str">
        <f aca="false">IF($A581="","",IF('3-Turizm İşletmeciliği'!I178="","",'3-Turizm İşletmeciliği'!I178))</f>
        <v/>
      </c>
      <c r="L581" s="28" t="str">
        <f aca="false">IF($I581="","",MATCH($I581,{"08.00";"09.00";"10.00";"11.00";"12.00";"13.00";"14.00";"15.00";"16.00";"17.00"},0))</f>
        <v/>
      </c>
      <c r="M581" s="28" t="str">
        <f aca="false">IF(OR($L581="",$J581=""),"",$L581+$J581-1)</f>
        <v/>
      </c>
      <c r="N581" s="28" t="str">
        <f aca="false">IF($A581="","",IF(OR($L581="",$M581=""),"",IF($M581&gt;10,"⚠ Saat Taşıyor","")))</f>
        <v/>
      </c>
      <c r="O581" s="28" t="str">
        <f aca="false">IF($A581="","",IF(OR($G581="",$H581="",$L581=""),"",IF(SUMPRODUCT(($A$7:$A$606&lt;&gt;"")*($G$7:$G$606=$G581)*($H$7:$H$606=$H581)*(ROW($A$7:$A$606)&lt;&gt;581)*($L$7:$L$606&lt;=$M581)*($M$7:$M$606&gt;=$L581))&gt;0,"⚠ Çakışma","OK")))</f>
        <v/>
      </c>
      <c r="P581" s="28" t="str">
        <f aca="false">IF($A581="","",IF(OR($K581="",$H581="",$L581=""),"",IF(SUMPRODUCT(($A$7:$A$606&lt;&gt;"")*($K$7:$K$606=$K581)*($H$7:$H$606=$H581)*(ROW($A$7:$A$606)&lt;&gt;581)*($L$7:$L$606&lt;=$M581)*($M$7:$M$606&gt;=$L581))&gt;0,"⚠ Çakışma","OK")))</f>
        <v/>
      </c>
      <c r="Q581" s="28" t="str">
        <f aca="false">IF($A581="","",IF(OR($E581="",$H581="",$L581=""),"",IF(SUMPRODUCT(($A$7:$A$606&lt;&gt;"")*($E$7:$E$606=$E581)*($H$7:$H$606=$H581)*(ROW($A$7:$A$606)&lt;&gt;581)*($L$7:$L$606&lt;=$M581)*($M$7:$M$606&gt;=$L581))&gt;0,"⚠ Çakışma","OK")))</f>
        <v/>
      </c>
      <c r="R581" s="28" t="str">
        <f aca="false">IF($A581="","",IF(OR($N581&lt;&gt;"",$O581="⚠ Çakışma",$P581="⚠ Çakışma",$Q581="⚠ Çakışma"),"⚠ Kontrol Et","✓ Uygun"))</f>
        <v/>
      </c>
    </row>
    <row r="582" customFormat="false" ht="13.5" hidden="false" customHeight="true" outlineLevel="0" collapsed="false">
      <c r="A582" s="28" t="str">
        <f aca="false">IF('3-Turizm İşletmeciliği'!A179="","","Turizm İşletmeciliği")</f>
        <v/>
      </c>
      <c r="B582" s="28" t="str">
        <f aca="false">IF($A582="","",IF('3-Turizm İşletmeciliği'!A179="","",'3-Turizm İşletmeciliği'!A179))</f>
        <v/>
      </c>
      <c r="C582" s="29" t="str">
        <f aca="false">IF($A582="","",IF('3-Turizm İşletmeciliği'!B179="","",'3-Turizm İşletmeciliği'!B179))</f>
        <v/>
      </c>
      <c r="D582" s="28" t="str">
        <f aca="false">IF($A582="","",IF('3-Turizm İşletmeciliği'!C179="","",'3-Turizm İşletmeciliği'!C179))</f>
        <v/>
      </c>
      <c r="E582" s="28" t="str">
        <f aca="false">IF($A582="","",$A582&amp;"-"&amp;$D582)</f>
        <v/>
      </c>
      <c r="F582" s="28" t="str">
        <f aca="false">IF($A582="","",IF('3-Turizm İşletmeciliği'!D179="","",'3-Turizm İşletmeciliği'!D179))</f>
        <v/>
      </c>
      <c r="G582" s="28" t="str">
        <f aca="false">IF($A582="","",IF('3-Turizm İşletmeciliği'!E179="","",'3-Turizm İşletmeciliği'!E179))</f>
        <v/>
      </c>
      <c r="H582" s="28" t="str">
        <f aca="false">IF($A582="","",IF('3-Turizm İşletmeciliği'!F179="","",'3-Turizm İşletmeciliği'!F179))</f>
        <v/>
      </c>
      <c r="I582" s="28" t="str">
        <f aca="false">IF($A582="","",IF('3-Turizm İşletmeciliği'!G179="","",'3-Turizm İşletmeciliği'!G179))</f>
        <v/>
      </c>
      <c r="J582" s="28" t="str">
        <f aca="false">IF($A582="","",IF('3-Turizm İşletmeciliği'!H179="","",'3-Turizm İşletmeciliği'!H179))</f>
        <v/>
      </c>
      <c r="K582" s="28" t="str">
        <f aca="false">IF($A582="","",IF('3-Turizm İşletmeciliği'!I179="","",'3-Turizm İşletmeciliği'!I179))</f>
        <v/>
      </c>
      <c r="L582" s="28" t="str">
        <f aca="false">IF($I582="","",MATCH($I582,{"08.00";"09.00";"10.00";"11.00";"12.00";"13.00";"14.00";"15.00";"16.00";"17.00"},0))</f>
        <v/>
      </c>
      <c r="M582" s="28" t="str">
        <f aca="false">IF(OR($L582="",$J582=""),"",$L582+$J582-1)</f>
        <v/>
      </c>
      <c r="N582" s="28" t="str">
        <f aca="false">IF($A582="","",IF(OR($L582="",$M582=""),"",IF($M582&gt;10,"⚠ Saat Taşıyor","")))</f>
        <v/>
      </c>
      <c r="O582" s="28" t="str">
        <f aca="false">IF($A582="","",IF(OR($G582="",$H582="",$L582=""),"",IF(SUMPRODUCT(($A$7:$A$606&lt;&gt;"")*($G$7:$G$606=$G582)*($H$7:$H$606=$H582)*(ROW($A$7:$A$606)&lt;&gt;582)*($L$7:$L$606&lt;=$M582)*($M$7:$M$606&gt;=$L582))&gt;0,"⚠ Çakışma","OK")))</f>
        <v/>
      </c>
      <c r="P582" s="28" t="str">
        <f aca="false">IF($A582="","",IF(OR($K582="",$H582="",$L582=""),"",IF(SUMPRODUCT(($A$7:$A$606&lt;&gt;"")*($K$7:$K$606=$K582)*($H$7:$H$606=$H582)*(ROW($A$7:$A$606)&lt;&gt;582)*($L$7:$L$606&lt;=$M582)*($M$7:$M$606&gt;=$L582))&gt;0,"⚠ Çakışma","OK")))</f>
        <v/>
      </c>
      <c r="Q582" s="28" t="str">
        <f aca="false">IF($A582="","",IF(OR($E582="",$H582="",$L582=""),"",IF(SUMPRODUCT(($A$7:$A$606&lt;&gt;"")*($E$7:$E$606=$E582)*($H$7:$H$606=$H582)*(ROW($A$7:$A$606)&lt;&gt;582)*($L$7:$L$606&lt;=$M582)*($M$7:$M$606&gt;=$L582))&gt;0,"⚠ Çakışma","OK")))</f>
        <v/>
      </c>
      <c r="R582" s="28" t="str">
        <f aca="false">IF($A582="","",IF(OR($N582&lt;&gt;"",$O582="⚠ Çakışma",$P582="⚠ Çakışma",$Q582="⚠ Çakışma"),"⚠ Kontrol Et","✓ Uygun"))</f>
        <v/>
      </c>
    </row>
    <row r="583" customFormat="false" ht="13.5" hidden="false" customHeight="true" outlineLevel="0" collapsed="false">
      <c r="A583" s="28" t="str">
        <f aca="false">IF('3-Turizm İşletmeciliği'!A180="","","Turizm İşletmeciliği")</f>
        <v/>
      </c>
      <c r="B583" s="28" t="str">
        <f aca="false">IF($A583="","",IF('3-Turizm İşletmeciliği'!A180="","",'3-Turizm İşletmeciliği'!A180))</f>
        <v/>
      </c>
      <c r="C583" s="29" t="str">
        <f aca="false">IF($A583="","",IF('3-Turizm İşletmeciliği'!B180="","",'3-Turizm İşletmeciliği'!B180))</f>
        <v/>
      </c>
      <c r="D583" s="28" t="str">
        <f aca="false">IF($A583="","",IF('3-Turizm İşletmeciliği'!C180="","",'3-Turizm İşletmeciliği'!C180))</f>
        <v/>
      </c>
      <c r="E583" s="28" t="str">
        <f aca="false">IF($A583="","",$A583&amp;"-"&amp;$D583)</f>
        <v/>
      </c>
      <c r="F583" s="28" t="str">
        <f aca="false">IF($A583="","",IF('3-Turizm İşletmeciliği'!D180="","",'3-Turizm İşletmeciliği'!D180))</f>
        <v/>
      </c>
      <c r="G583" s="28" t="str">
        <f aca="false">IF($A583="","",IF('3-Turizm İşletmeciliği'!E180="","",'3-Turizm İşletmeciliği'!E180))</f>
        <v/>
      </c>
      <c r="H583" s="28" t="str">
        <f aca="false">IF($A583="","",IF('3-Turizm İşletmeciliği'!F180="","",'3-Turizm İşletmeciliği'!F180))</f>
        <v/>
      </c>
      <c r="I583" s="28" t="str">
        <f aca="false">IF($A583="","",IF('3-Turizm İşletmeciliği'!G180="","",'3-Turizm İşletmeciliği'!G180))</f>
        <v/>
      </c>
      <c r="J583" s="28" t="str">
        <f aca="false">IF($A583="","",IF('3-Turizm İşletmeciliği'!H180="","",'3-Turizm İşletmeciliği'!H180))</f>
        <v/>
      </c>
      <c r="K583" s="28" t="str">
        <f aca="false">IF($A583="","",IF('3-Turizm İşletmeciliği'!I180="","",'3-Turizm İşletmeciliği'!I180))</f>
        <v/>
      </c>
      <c r="L583" s="28" t="str">
        <f aca="false">IF($I583="","",MATCH($I583,{"08.00";"09.00";"10.00";"11.00";"12.00";"13.00";"14.00";"15.00";"16.00";"17.00"},0))</f>
        <v/>
      </c>
      <c r="M583" s="28" t="str">
        <f aca="false">IF(OR($L583="",$J583=""),"",$L583+$J583-1)</f>
        <v/>
      </c>
      <c r="N583" s="28" t="str">
        <f aca="false">IF($A583="","",IF(OR($L583="",$M583=""),"",IF($M583&gt;10,"⚠ Saat Taşıyor","")))</f>
        <v/>
      </c>
      <c r="O583" s="28" t="str">
        <f aca="false">IF($A583="","",IF(OR($G583="",$H583="",$L583=""),"",IF(SUMPRODUCT(($A$7:$A$606&lt;&gt;"")*($G$7:$G$606=$G583)*($H$7:$H$606=$H583)*(ROW($A$7:$A$606)&lt;&gt;583)*($L$7:$L$606&lt;=$M583)*($M$7:$M$606&gt;=$L583))&gt;0,"⚠ Çakışma","OK")))</f>
        <v/>
      </c>
      <c r="P583" s="28" t="str">
        <f aca="false">IF($A583="","",IF(OR($K583="",$H583="",$L583=""),"",IF(SUMPRODUCT(($A$7:$A$606&lt;&gt;"")*($K$7:$K$606=$K583)*($H$7:$H$606=$H583)*(ROW($A$7:$A$606)&lt;&gt;583)*($L$7:$L$606&lt;=$M583)*($M$7:$M$606&gt;=$L583))&gt;0,"⚠ Çakışma","OK")))</f>
        <v/>
      </c>
      <c r="Q583" s="28" t="str">
        <f aca="false">IF($A583="","",IF(OR($E583="",$H583="",$L583=""),"",IF(SUMPRODUCT(($A$7:$A$606&lt;&gt;"")*($E$7:$E$606=$E583)*($H$7:$H$606=$H583)*(ROW($A$7:$A$606)&lt;&gt;583)*($L$7:$L$606&lt;=$M583)*($M$7:$M$606&gt;=$L583))&gt;0,"⚠ Çakışma","OK")))</f>
        <v/>
      </c>
      <c r="R583" s="28" t="str">
        <f aca="false">IF($A583="","",IF(OR($N583&lt;&gt;"",$O583="⚠ Çakışma",$P583="⚠ Çakışma",$Q583="⚠ Çakışma"),"⚠ Kontrol Et","✓ Uygun"))</f>
        <v/>
      </c>
    </row>
    <row r="584" customFormat="false" ht="13.5" hidden="false" customHeight="true" outlineLevel="0" collapsed="false">
      <c r="A584" s="28" t="str">
        <f aca="false">IF('3-Turizm İşletmeciliği'!A181="","","Turizm İşletmeciliği")</f>
        <v/>
      </c>
      <c r="B584" s="28" t="str">
        <f aca="false">IF($A584="","",IF('3-Turizm İşletmeciliği'!A181="","",'3-Turizm İşletmeciliği'!A181))</f>
        <v/>
      </c>
      <c r="C584" s="29" t="str">
        <f aca="false">IF($A584="","",IF('3-Turizm İşletmeciliği'!B181="","",'3-Turizm İşletmeciliği'!B181))</f>
        <v/>
      </c>
      <c r="D584" s="28" t="str">
        <f aca="false">IF($A584="","",IF('3-Turizm İşletmeciliği'!C181="","",'3-Turizm İşletmeciliği'!C181))</f>
        <v/>
      </c>
      <c r="E584" s="28" t="str">
        <f aca="false">IF($A584="","",$A584&amp;"-"&amp;$D584)</f>
        <v/>
      </c>
      <c r="F584" s="28" t="str">
        <f aca="false">IF($A584="","",IF('3-Turizm İşletmeciliği'!D181="","",'3-Turizm İşletmeciliği'!D181))</f>
        <v/>
      </c>
      <c r="G584" s="28" t="str">
        <f aca="false">IF($A584="","",IF('3-Turizm İşletmeciliği'!E181="","",'3-Turizm İşletmeciliği'!E181))</f>
        <v/>
      </c>
      <c r="H584" s="28" t="str">
        <f aca="false">IF($A584="","",IF('3-Turizm İşletmeciliği'!F181="","",'3-Turizm İşletmeciliği'!F181))</f>
        <v/>
      </c>
      <c r="I584" s="28" t="str">
        <f aca="false">IF($A584="","",IF('3-Turizm İşletmeciliği'!G181="","",'3-Turizm İşletmeciliği'!G181))</f>
        <v/>
      </c>
      <c r="J584" s="28" t="str">
        <f aca="false">IF($A584="","",IF('3-Turizm İşletmeciliği'!H181="","",'3-Turizm İşletmeciliği'!H181))</f>
        <v/>
      </c>
      <c r="K584" s="28" t="str">
        <f aca="false">IF($A584="","",IF('3-Turizm İşletmeciliği'!I181="","",'3-Turizm İşletmeciliği'!I181))</f>
        <v/>
      </c>
      <c r="L584" s="28" t="str">
        <f aca="false">IF($I584="","",MATCH($I584,{"08.00";"09.00";"10.00";"11.00";"12.00";"13.00";"14.00";"15.00";"16.00";"17.00"},0))</f>
        <v/>
      </c>
      <c r="M584" s="28" t="str">
        <f aca="false">IF(OR($L584="",$J584=""),"",$L584+$J584-1)</f>
        <v/>
      </c>
      <c r="N584" s="28" t="str">
        <f aca="false">IF($A584="","",IF(OR($L584="",$M584=""),"",IF($M584&gt;10,"⚠ Saat Taşıyor","")))</f>
        <v/>
      </c>
      <c r="O584" s="28" t="str">
        <f aca="false">IF($A584="","",IF(OR($G584="",$H584="",$L584=""),"",IF(SUMPRODUCT(($A$7:$A$606&lt;&gt;"")*($G$7:$G$606=$G584)*($H$7:$H$606=$H584)*(ROW($A$7:$A$606)&lt;&gt;584)*($L$7:$L$606&lt;=$M584)*($M$7:$M$606&gt;=$L584))&gt;0,"⚠ Çakışma","OK")))</f>
        <v/>
      </c>
      <c r="P584" s="28" t="str">
        <f aca="false">IF($A584="","",IF(OR($K584="",$H584="",$L584=""),"",IF(SUMPRODUCT(($A$7:$A$606&lt;&gt;"")*($K$7:$K$606=$K584)*($H$7:$H$606=$H584)*(ROW($A$7:$A$606)&lt;&gt;584)*($L$7:$L$606&lt;=$M584)*($M$7:$M$606&gt;=$L584))&gt;0,"⚠ Çakışma","OK")))</f>
        <v/>
      </c>
      <c r="Q584" s="28" t="str">
        <f aca="false">IF($A584="","",IF(OR($E584="",$H584="",$L584=""),"",IF(SUMPRODUCT(($A$7:$A$606&lt;&gt;"")*($E$7:$E$606=$E584)*($H$7:$H$606=$H584)*(ROW($A$7:$A$606)&lt;&gt;584)*($L$7:$L$606&lt;=$M584)*($M$7:$M$606&gt;=$L584))&gt;0,"⚠ Çakışma","OK")))</f>
        <v/>
      </c>
      <c r="R584" s="28" t="str">
        <f aca="false">IF($A584="","",IF(OR($N584&lt;&gt;"",$O584="⚠ Çakışma",$P584="⚠ Çakışma",$Q584="⚠ Çakışma"),"⚠ Kontrol Et","✓ Uygun"))</f>
        <v/>
      </c>
    </row>
    <row r="585" customFormat="false" ht="13.5" hidden="false" customHeight="true" outlineLevel="0" collapsed="false">
      <c r="A585" s="28" t="str">
        <f aca="false">IF('3-Turizm İşletmeciliği'!A182="","","Turizm İşletmeciliği")</f>
        <v/>
      </c>
      <c r="B585" s="28" t="str">
        <f aca="false">IF($A585="","",IF('3-Turizm İşletmeciliği'!A182="","",'3-Turizm İşletmeciliği'!A182))</f>
        <v/>
      </c>
      <c r="C585" s="29" t="str">
        <f aca="false">IF($A585="","",IF('3-Turizm İşletmeciliği'!B182="","",'3-Turizm İşletmeciliği'!B182))</f>
        <v/>
      </c>
      <c r="D585" s="28" t="str">
        <f aca="false">IF($A585="","",IF('3-Turizm İşletmeciliği'!C182="","",'3-Turizm İşletmeciliği'!C182))</f>
        <v/>
      </c>
      <c r="E585" s="28" t="str">
        <f aca="false">IF($A585="","",$A585&amp;"-"&amp;$D585)</f>
        <v/>
      </c>
      <c r="F585" s="28" t="str">
        <f aca="false">IF($A585="","",IF('3-Turizm İşletmeciliği'!D182="","",'3-Turizm İşletmeciliği'!D182))</f>
        <v/>
      </c>
      <c r="G585" s="28" t="str">
        <f aca="false">IF($A585="","",IF('3-Turizm İşletmeciliği'!E182="","",'3-Turizm İşletmeciliği'!E182))</f>
        <v/>
      </c>
      <c r="H585" s="28" t="str">
        <f aca="false">IF($A585="","",IF('3-Turizm İşletmeciliği'!F182="","",'3-Turizm İşletmeciliği'!F182))</f>
        <v/>
      </c>
      <c r="I585" s="28" t="str">
        <f aca="false">IF($A585="","",IF('3-Turizm İşletmeciliği'!G182="","",'3-Turizm İşletmeciliği'!G182))</f>
        <v/>
      </c>
      <c r="J585" s="28" t="str">
        <f aca="false">IF($A585="","",IF('3-Turizm İşletmeciliği'!H182="","",'3-Turizm İşletmeciliği'!H182))</f>
        <v/>
      </c>
      <c r="K585" s="28" t="str">
        <f aca="false">IF($A585="","",IF('3-Turizm İşletmeciliği'!I182="","",'3-Turizm İşletmeciliği'!I182))</f>
        <v/>
      </c>
      <c r="L585" s="28" t="str">
        <f aca="false">IF($I585="","",MATCH($I585,{"08.00";"09.00";"10.00";"11.00";"12.00";"13.00";"14.00";"15.00";"16.00";"17.00"},0))</f>
        <v/>
      </c>
      <c r="M585" s="28" t="str">
        <f aca="false">IF(OR($L585="",$J585=""),"",$L585+$J585-1)</f>
        <v/>
      </c>
      <c r="N585" s="28" t="str">
        <f aca="false">IF($A585="","",IF(OR($L585="",$M585=""),"",IF($M585&gt;10,"⚠ Saat Taşıyor","")))</f>
        <v/>
      </c>
      <c r="O585" s="28" t="str">
        <f aca="false">IF($A585="","",IF(OR($G585="",$H585="",$L585=""),"",IF(SUMPRODUCT(($A$7:$A$606&lt;&gt;"")*($G$7:$G$606=$G585)*($H$7:$H$606=$H585)*(ROW($A$7:$A$606)&lt;&gt;585)*($L$7:$L$606&lt;=$M585)*($M$7:$M$606&gt;=$L585))&gt;0,"⚠ Çakışma","OK")))</f>
        <v/>
      </c>
      <c r="P585" s="28" t="str">
        <f aca="false">IF($A585="","",IF(OR($K585="",$H585="",$L585=""),"",IF(SUMPRODUCT(($A$7:$A$606&lt;&gt;"")*($K$7:$K$606=$K585)*($H$7:$H$606=$H585)*(ROW($A$7:$A$606)&lt;&gt;585)*($L$7:$L$606&lt;=$M585)*($M$7:$M$606&gt;=$L585))&gt;0,"⚠ Çakışma","OK")))</f>
        <v/>
      </c>
      <c r="Q585" s="28" t="str">
        <f aca="false">IF($A585="","",IF(OR($E585="",$H585="",$L585=""),"",IF(SUMPRODUCT(($A$7:$A$606&lt;&gt;"")*($E$7:$E$606=$E585)*($H$7:$H$606=$H585)*(ROW($A$7:$A$606)&lt;&gt;585)*($L$7:$L$606&lt;=$M585)*($M$7:$M$606&gt;=$L585))&gt;0,"⚠ Çakışma","OK")))</f>
        <v/>
      </c>
      <c r="R585" s="28" t="str">
        <f aca="false">IF($A585="","",IF(OR($N585&lt;&gt;"",$O585="⚠ Çakışma",$P585="⚠ Çakışma",$Q585="⚠ Çakışma"),"⚠ Kontrol Et","✓ Uygun"))</f>
        <v/>
      </c>
    </row>
    <row r="586" customFormat="false" ht="13.5" hidden="false" customHeight="true" outlineLevel="0" collapsed="false">
      <c r="A586" s="28" t="str">
        <f aca="false">IF('3-Turizm İşletmeciliği'!A183="","","Turizm İşletmeciliği")</f>
        <v/>
      </c>
      <c r="B586" s="28" t="str">
        <f aca="false">IF($A586="","",IF('3-Turizm İşletmeciliği'!A183="","",'3-Turizm İşletmeciliği'!A183))</f>
        <v/>
      </c>
      <c r="C586" s="29" t="str">
        <f aca="false">IF($A586="","",IF('3-Turizm İşletmeciliği'!B183="","",'3-Turizm İşletmeciliği'!B183))</f>
        <v/>
      </c>
      <c r="D586" s="28" t="str">
        <f aca="false">IF($A586="","",IF('3-Turizm İşletmeciliği'!C183="","",'3-Turizm İşletmeciliği'!C183))</f>
        <v/>
      </c>
      <c r="E586" s="28" t="str">
        <f aca="false">IF($A586="","",$A586&amp;"-"&amp;$D586)</f>
        <v/>
      </c>
      <c r="F586" s="28" t="str">
        <f aca="false">IF($A586="","",IF('3-Turizm İşletmeciliği'!D183="","",'3-Turizm İşletmeciliği'!D183))</f>
        <v/>
      </c>
      <c r="G586" s="28" t="str">
        <f aca="false">IF($A586="","",IF('3-Turizm İşletmeciliği'!E183="","",'3-Turizm İşletmeciliği'!E183))</f>
        <v/>
      </c>
      <c r="H586" s="28" t="str">
        <f aca="false">IF($A586="","",IF('3-Turizm İşletmeciliği'!F183="","",'3-Turizm İşletmeciliği'!F183))</f>
        <v/>
      </c>
      <c r="I586" s="28" t="str">
        <f aca="false">IF($A586="","",IF('3-Turizm İşletmeciliği'!G183="","",'3-Turizm İşletmeciliği'!G183))</f>
        <v/>
      </c>
      <c r="J586" s="28" t="str">
        <f aca="false">IF($A586="","",IF('3-Turizm İşletmeciliği'!H183="","",'3-Turizm İşletmeciliği'!H183))</f>
        <v/>
      </c>
      <c r="K586" s="28" t="str">
        <f aca="false">IF($A586="","",IF('3-Turizm İşletmeciliği'!I183="","",'3-Turizm İşletmeciliği'!I183))</f>
        <v/>
      </c>
      <c r="L586" s="28" t="str">
        <f aca="false">IF($I586="","",MATCH($I586,{"08.00";"09.00";"10.00";"11.00";"12.00";"13.00";"14.00";"15.00";"16.00";"17.00"},0))</f>
        <v/>
      </c>
      <c r="M586" s="28" t="str">
        <f aca="false">IF(OR($L586="",$J586=""),"",$L586+$J586-1)</f>
        <v/>
      </c>
      <c r="N586" s="28" t="str">
        <f aca="false">IF($A586="","",IF(OR($L586="",$M586=""),"",IF($M586&gt;10,"⚠ Saat Taşıyor","")))</f>
        <v/>
      </c>
      <c r="O586" s="28" t="str">
        <f aca="false">IF($A586="","",IF(OR($G586="",$H586="",$L586=""),"",IF(SUMPRODUCT(($A$7:$A$606&lt;&gt;"")*($G$7:$G$606=$G586)*($H$7:$H$606=$H586)*(ROW($A$7:$A$606)&lt;&gt;586)*($L$7:$L$606&lt;=$M586)*($M$7:$M$606&gt;=$L586))&gt;0,"⚠ Çakışma","OK")))</f>
        <v/>
      </c>
      <c r="P586" s="28" t="str">
        <f aca="false">IF($A586="","",IF(OR($K586="",$H586="",$L586=""),"",IF(SUMPRODUCT(($A$7:$A$606&lt;&gt;"")*($K$7:$K$606=$K586)*($H$7:$H$606=$H586)*(ROW($A$7:$A$606)&lt;&gt;586)*($L$7:$L$606&lt;=$M586)*($M$7:$M$606&gt;=$L586))&gt;0,"⚠ Çakışma","OK")))</f>
        <v/>
      </c>
      <c r="Q586" s="28" t="str">
        <f aca="false">IF($A586="","",IF(OR($E586="",$H586="",$L586=""),"",IF(SUMPRODUCT(($A$7:$A$606&lt;&gt;"")*($E$7:$E$606=$E586)*($H$7:$H$606=$H586)*(ROW($A$7:$A$606)&lt;&gt;586)*($L$7:$L$606&lt;=$M586)*($M$7:$M$606&gt;=$L586))&gt;0,"⚠ Çakışma","OK")))</f>
        <v/>
      </c>
      <c r="R586" s="28" t="str">
        <f aca="false">IF($A586="","",IF(OR($N586&lt;&gt;"",$O586="⚠ Çakışma",$P586="⚠ Çakışma",$Q586="⚠ Çakışma"),"⚠ Kontrol Et","✓ Uygun"))</f>
        <v/>
      </c>
    </row>
    <row r="587" customFormat="false" ht="13.5" hidden="false" customHeight="true" outlineLevel="0" collapsed="false">
      <c r="A587" s="28" t="str">
        <f aca="false">IF('3-Turizm İşletmeciliği'!A184="","","Turizm İşletmeciliği")</f>
        <v/>
      </c>
      <c r="B587" s="28" t="str">
        <f aca="false">IF($A587="","",IF('3-Turizm İşletmeciliği'!A184="","",'3-Turizm İşletmeciliği'!A184))</f>
        <v/>
      </c>
      <c r="C587" s="29" t="str">
        <f aca="false">IF($A587="","",IF('3-Turizm İşletmeciliği'!B184="","",'3-Turizm İşletmeciliği'!B184))</f>
        <v/>
      </c>
      <c r="D587" s="28" t="str">
        <f aca="false">IF($A587="","",IF('3-Turizm İşletmeciliği'!C184="","",'3-Turizm İşletmeciliği'!C184))</f>
        <v/>
      </c>
      <c r="E587" s="28" t="str">
        <f aca="false">IF($A587="","",$A587&amp;"-"&amp;$D587)</f>
        <v/>
      </c>
      <c r="F587" s="28" t="str">
        <f aca="false">IF($A587="","",IF('3-Turizm İşletmeciliği'!D184="","",'3-Turizm İşletmeciliği'!D184))</f>
        <v/>
      </c>
      <c r="G587" s="28" t="str">
        <f aca="false">IF($A587="","",IF('3-Turizm İşletmeciliği'!E184="","",'3-Turizm İşletmeciliği'!E184))</f>
        <v/>
      </c>
      <c r="H587" s="28" t="str">
        <f aca="false">IF($A587="","",IF('3-Turizm İşletmeciliği'!F184="","",'3-Turizm İşletmeciliği'!F184))</f>
        <v/>
      </c>
      <c r="I587" s="28" t="str">
        <f aca="false">IF($A587="","",IF('3-Turizm İşletmeciliği'!G184="","",'3-Turizm İşletmeciliği'!G184))</f>
        <v/>
      </c>
      <c r="J587" s="28" t="str">
        <f aca="false">IF($A587="","",IF('3-Turizm İşletmeciliği'!H184="","",'3-Turizm İşletmeciliği'!H184))</f>
        <v/>
      </c>
      <c r="K587" s="28" t="str">
        <f aca="false">IF($A587="","",IF('3-Turizm İşletmeciliği'!I184="","",'3-Turizm İşletmeciliği'!I184))</f>
        <v/>
      </c>
      <c r="L587" s="28" t="str">
        <f aca="false">IF($I587="","",MATCH($I587,{"08.00";"09.00";"10.00";"11.00";"12.00";"13.00";"14.00";"15.00";"16.00";"17.00"},0))</f>
        <v/>
      </c>
      <c r="M587" s="28" t="str">
        <f aca="false">IF(OR($L587="",$J587=""),"",$L587+$J587-1)</f>
        <v/>
      </c>
      <c r="N587" s="28" t="str">
        <f aca="false">IF($A587="","",IF(OR($L587="",$M587=""),"",IF($M587&gt;10,"⚠ Saat Taşıyor","")))</f>
        <v/>
      </c>
      <c r="O587" s="28" t="str">
        <f aca="false">IF($A587="","",IF(OR($G587="",$H587="",$L587=""),"",IF(SUMPRODUCT(($A$7:$A$606&lt;&gt;"")*($G$7:$G$606=$G587)*($H$7:$H$606=$H587)*(ROW($A$7:$A$606)&lt;&gt;587)*($L$7:$L$606&lt;=$M587)*($M$7:$M$606&gt;=$L587))&gt;0,"⚠ Çakışma","OK")))</f>
        <v/>
      </c>
      <c r="P587" s="28" t="str">
        <f aca="false">IF($A587="","",IF(OR($K587="",$H587="",$L587=""),"",IF(SUMPRODUCT(($A$7:$A$606&lt;&gt;"")*($K$7:$K$606=$K587)*($H$7:$H$606=$H587)*(ROW($A$7:$A$606)&lt;&gt;587)*($L$7:$L$606&lt;=$M587)*($M$7:$M$606&gt;=$L587))&gt;0,"⚠ Çakışma","OK")))</f>
        <v/>
      </c>
      <c r="Q587" s="28" t="str">
        <f aca="false">IF($A587="","",IF(OR($E587="",$H587="",$L587=""),"",IF(SUMPRODUCT(($A$7:$A$606&lt;&gt;"")*($E$7:$E$606=$E587)*($H$7:$H$606=$H587)*(ROW($A$7:$A$606)&lt;&gt;587)*($L$7:$L$606&lt;=$M587)*($M$7:$M$606&gt;=$L587))&gt;0,"⚠ Çakışma","OK")))</f>
        <v/>
      </c>
      <c r="R587" s="28" t="str">
        <f aca="false">IF($A587="","",IF(OR($N587&lt;&gt;"",$O587="⚠ Çakışma",$P587="⚠ Çakışma",$Q587="⚠ Çakışma"),"⚠ Kontrol Et","✓ Uygun"))</f>
        <v/>
      </c>
    </row>
    <row r="588" customFormat="false" ht="13.5" hidden="false" customHeight="true" outlineLevel="0" collapsed="false">
      <c r="A588" s="28" t="str">
        <f aca="false">IF('3-Turizm İşletmeciliği'!A185="","","Turizm İşletmeciliği")</f>
        <v/>
      </c>
      <c r="B588" s="28" t="str">
        <f aca="false">IF($A588="","",IF('3-Turizm İşletmeciliği'!A185="","",'3-Turizm İşletmeciliği'!A185))</f>
        <v/>
      </c>
      <c r="C588" s="29" t="str">
        <f aca="false">IF($A588="","",IF('3-Turizm İşletmeciliği'!B185="","",'3-Turizm İşletmeciliği'!B185))</f>
        <v/>
      </c>
      <c r="D588" s="28" t="str">
        <f aca="false">IF($A588="","",IF('3-Turizm İşletmeciliği'!C185="","",'3-Turizm İşletmeciliği'!C185))</f>
        <v/>
      </c>
      <c r="E588" s="28" t="str">
        <f aca="false">IF($A588="","",$A588&amp;"-"&amp;$D588)</f>
        <v/>
      </c>
      <c r="F588" s="28" t="str">
        <f aca="false">IF($A588="","",IF('3-Turizm İşletmeciliği'!D185="","",'3-Turizm İşletmeciliği'!D185))</f>
        <v/>
      </c>
      <c r="G588" s="28" t="str">
        <f aca="false">IF($A588="","",IF('3-Turizm İşletmeciliği'!E185="","",'3-Turizm İşletmeciliği'!E185))</f>
        <v/>
      </c>
      <c r="H588" s="28" t="str">
        <f aca="false">IF($A588="","",IF('3-Turizm İşletmeciliği'!F185="","",'3-Turizm İşletmeciliği'!F185))</f>
        <v/>
      </c>
      <c r="I588" s="28" t="str">
        <f aca="false">IF($A588="","",IF('3-Turizm İşletmeciliği'!G185="","",'3-Turizm İşletmeciliği'!G185))</f>
        <v/>
      </c>
      <c r="J588" s="28" t="str">
        <f aca="false">IF($A588="","",IF('3-Turizm İşletmeciliği'!H185="","",'3-Turizm İşletmeciliği'!H185))</f>
        <v/>
      </c>
      <c r="K588" s="28" t="str">
        <f aca="false">IF($A588="","",IF('3-Turizm İşletmeciliği'!I185="","",'3-Turizm İşletmeciliği'!I185))</f>
        <v/>
      </c>
      <c r="L588" s="28" t="str">
        <f aca="false">IF($I588="","",MATCH($I588,{"08.00";"09.00";"10.00";"11.00";"12.00";"13.00";"14.00";"15.00";"16.00";"17.00"},0))</f>
        <v/>
      </c>
      <c r="M588" s="28" t="str">
        <f aca="false">IF(OR($L588="",$J588=""),"",$L588+$J588-1)</f>
        <v/>
      </c>
      <c r="N588" s="28" t="str">
        <f aca="false">IF($A588="","",IF(OR($L588="",$M588=""),"",IF($M588&gt;10,"⚠ Saat Taşıyor","")))</f>
        <v/>
      </c>
      <c r="O588" s="28" t="str">
        <f aca="false">IF($A588="","",IF(OR($G588="",$H588="",$L588=""),"",IF(SUMPRODUCT(($A$7:$A$606&lt;&gt;"")*($G$7:$G$606=$G588)*($H$7:$H$606=$H588)*(ROW($A$7:$A$606)&lt;&gt;588)*($L$7:$L$606&lt;=$M588)*($M$7:$M$606&gt;=$L588))&gt;0,"⚠ Çakışma","OK")))</f>
        <v/>
      </c>
      <c r="P588" s="28" t="str">
        <f aca="false">IF($A588="","",IF(OR($K588="",$H588="",$L588=""),"",IF(SUMPRODUCT(($A$7:$A$606&lt;&gt;"")*($K$7:$K$606=$K588)*($H$7:$H$606=$H588)*(ROW($A$7:$A$606)&lt;&gt;588)*($L$7:$L$606&lt;=$M588)*($M$7:$M$606&gt;=$L588))&gt;0,"⚠ Çakışma","OK")))</f>
        <v/>
      </c>
      <c r="Q588" s="28" t="str">
        <f aca="false">IF($A588="","",IF(OR($E588="",$H588="",$L588=""),"",IF(SUMPRODUCT(($A$7:$A$606&lt;&gt;"")*($E$7:$E$606=$E588)*($H$7:$H$606=$H588)*(ROW($A$7:$A$606)&lt;&gt;588)*($L$7:$L$606&lt;=$M588)*($M$7:$M$606&gt;=$L588))&gt;0,"⚠ Çakışma","OK")))</f>
        <v/>
      </c>
      <c r="R588" s="28" t="str">
        <f aca="false">IF($A588="","",IF(OR($N588&lt;&gt;"",$O588="⚠ Çakışma",$P588="⚠ Çakışma",$Q588="⚠ Çakışma"),"⚠ Kontrol Et","✓ Uygun"))</f>
        <v/>
      </c>
    </row>
    <row r="589" customFormat="false" ht="13.5" hidden="false" customHeight="true" outlineLevel="0" collapsed="false">
      <c r="A589" s="28" t="str">
        <f aca="false">IF('3-Turizm İşletmeciliği'!A186="","","Turizm İşletmeciliği")</f>
        <v/>
      </c>
      <c r="B589" s="28" t="str">
        <f aca="false">IF($A589="","",IF('3-Turizm İşletmeciliği'!A186="","",'3-Turizm İşletmeciliği'!A186))</f>
        <v/>
      </c>
      <c r="C589" s="29" t="str">
        <f aca="false">IF($A589="","",IF('3-Turizm İşletmeciliği'!B186="","",'3-Turizm İşletmeciliği'!B186))</f>
        <v/>
      </c>
      <c r="D589" s="28" t="str">
        <f aca="false">IF($A589="","",IF('3-Turizm İşletmeciliği'!C186="","",'3-Turizm İşletmeciliği'!C186))</f>
        <v/>
      </c>
      <c r="E589" s="28" t="str">
        <f aca="false">IF($A589="","",$A589&amp;"-"&amp;$D589)</f>
        <v/>
      </c>
      <c r="F589" s="28" t="str">
        <f aca="false">IF($A589="","",IF('3-Turizm İşletmeciliği'!D186="","",'3-Turizm İşletmeciliği'!D186))</f>
        <v/>
      </c>
      <c r="G589" s="28" t="str">
        <f aca="false">IF($A589="","",IF('3-Turizm İşletmeciliği'!E186="","",'3-Turizm İşletmeciliği'!E186))</f>
        <v/>
      </c>
      <c r="H589" s="28" t="str">
        <f aca="false">IF($A589="","",IF('3-Turizm İşletmeciliği'!F186="","",'3-Turizm İşletmeciliği'!F186))</f>
        <v/>
      </c>
      <c r="I589" s="28" t="str">
        <f aca="false">IF($A589="","",IF('3-Turizm İşletmeciliği'!G186="","",'3-Turizm İşletmeciliği'!G186))</f>
        <v/>
      </c>
      <c r="J589" s="28" t="str">
        <f aca="false">IF($A589="","",IF('3-Turizm İşletmeciliği'!H186="","",'3-Turizm İşletmeciliği'!H186))</f>
        <v/>
      </c>
      <c r="K589" s="28" t="str">
        <f aca="false">IF($A589="","",IF('3-Turizm İşletmeciliği'!I186="","",'3-Turizm İşletmeciliği'!I186))</f>
        <v/>
      </c>
      <c r="L589" s="28" t="str">
        <f aca="false">IF($I589="","",MATCH($I589,{"08.00";"09.00";"10.00";"11.00";"12.00";"13.00";"14.00";"15.00";"16.00";"17.00"},0))</f>
        <v/>
      </c>
      <c r="M589" s="28" t="str">
        <f aca="false">IF(OR($L589="",$J589=""),"",$L589+$J589-1)</f>
        <v/>
      </c>
      <c r="N589" s="28" t="str">
        <f aca="false">IF($A589="","",IF(OR($L589="",$M589=""),"",IF($M589&gt;10,"⚠ Saat Taşıyor","")))</f>
        <v/>
      </c>
      <c r="O589" s="28" t="str">
        <f aca="false">IF($A589="","",IF(OR($G589="",$H589="",$L589=""),"",IF(SUMPRODUCT(($A$7:$A$606&lt;&gt;"")*($G$7:$G$606=$G589)*($H$7:$H$606=$H589)*(ROW($A$7:$A$606)&lt;&gt;589)*($L$7:$L$606&lt;=$M589)*($M$7:$M$606&gt;=$L589))&gt;0,"⚠ Çakışma","OK")))</f>
        <v/>
      </c>
      <c r="P589" s="28" t="str">
        <f aca="false">IF($A589="","",IF(OR($K589="",$H589="",$L589=""),"",IF(SUMPRODUCT(($A$7:$A$606&lt;&gt;"")*($K$7:$K$606=$K589)*($H$7:$H$606=$H589)*(ROW($A$7:$A$606)&lt;&gt;589)*($L$7:$L$606&lt;=$M589)*($M$7:$M$606&gt;=$L589))&gt;0,"⚠ Çakışma","OK")))</f>
        <v/>
      </c>
      <c r="Q589" s="28" t="str">
        <f aca="false">IF($A589="","",IF(OR($E589="",$H589="",$L589=""),"",IF(SUMPRODUCT(($A$7:$A$606&lt;&gt;"")*($E$7:$E$606=$E589)*($H$7:$H$606=$H589)*(ROW($A$7:$A$606)&lt;&gt;589)*($L$7:$L$606&lt;=$M589)*($M$7:$M$606&gt;=$L589))&gt;0,"⚠ Çakışma","OK")))</f>
        <v/>
      </c>
      <c r="R589" s="28" t="str">
        <f aca="false">IF($A589="","",IF(OR($N589&lt;&gt;"",$O589="⚠ Çakışma",$P589="⚠ Çakışma",$Q589="⚠ Çakışma"),"⚠ Kontrol Et","✓ Uygun"))</f>
        <v/>
      </c>
    </row>
    <row r="590" customFormat="false" ht="13.5" hidden="false" customHeight="true" outlineLevel="0" collapsed="false">
      <c r="A590" s="28" t="str">
        <f aca="false">IF('3-Turizm İşletmeciliği'!A187="","","Turizm İşletmeciliği")</f>
        <v/>
      </c>
      <c r="B590" s="28" t="str">
        <f aca="false">IF($A590="","",IF('3-Turizm İşletmeciliği'!A187="","",'3-Turizm İşletmeciliği'!A187))</f>
        <v/>
      </c>
      <c r="C590" s="29" t="str">
        <f aca="false">IF($A590="","",IF('3-Turizm İşletmeciliği'!B187="","",'3-Turizm İşletmeciliği'!B187))</f>
        <v/>
      </c>
      <c r="D590" s="28" t="str">
        <f aca="false">IF($A590="","",IF('3-Turizm İşletmeciliği'!C187="","",'3-Turizm İşletmeciliği'!C187))</f>
        <v/>
      </c>
      <c r="E590" s="28" t="str">
        <f aca="false">IF($A590="","",$A590&amp;"-"&amp;$D590)</f>
        <v/>
      </c>
      <c r="F590" s="28" t="str">
        <f aca="false">IF($A590="","",IF('3-Turizm İşletmeciliği'!D187="","",'3-Turizm İşletmeciliği'!D187))</f>
        <v/>
      </c>
      <c r="G590" s="28" t="str">
        <f aca="false">IF($A590="","",IF('3-Turizm İşletmeciliği'!E187="","",'3-Turizm İşletmeciliği'!E187))</f>
        <v/>
      </c>
      <c r="H590" s="28" t="str">
        <f aca="false">IF($A590="","",IF('3-Turizm İşletmeciliği'!F187="","",'3-Turizm İşletmeciliği'!F187))</f>
        <v/>
      </c>
      <c r="I590" s="28" t="str">
        <f aca="false">IF($A590="","",IF('3-Turizm İşletmeciliği'!G187="","",'3-Turizm İşletmeciliği'!G187))</f>
        <v/>
      </c>
      <c r="J590" s="28" t="str">
        <f aca="false">IF($A590="","",IF('3-Turizm İşletmeciliği'!H187="","",'3-Turizm İşletmeciliği'!H187))</f>
        <v/>
      </c>
      <c r="K590" s="28" t="str">
        <f aca="false">IF($A590="","",IF('3-Turizm İşletmeciliği'!I187="","",'3-Turizm İşletmeciliği'!I187))</f>
        <v/>
      </c>
      <c r="L590" s="28" t="str">
        <f aca="false">IF($I590="","",MATCH($I590,{"08.00";"09.00";"10.00";"11.00";"12.00";"13.00";"14.00";"15.00";"16.00";"17.00"},0))</f>
        <v/>
      </c>
      <c r="M590" s="28" t="str">
        <f aca="false">IF(OR($L590="",$J590=""),"",$L590+$J590-1)</f>
        <v/>
      </c>
      <c r="N590" s="28" t="str">
        <f aca="false">IF($A590="","",IF(OR($L590="",$M590=""),"",IF($M590&gt;10,"⚠ Saat Taşıyor","")))</f>
        <v/>
      </c>
      <c r="O590" s="28" t="str">
        <f aca="false">IF($A590="","",IF(OR($G590="",$H590="",$L590=""),"",IF(SUMPRODUCT(($A$7:$A$606&lt;&gt;"")*($G$7:$G$606=$G590)*($H$7:$H$606=$H590)*(ROW($A$7:$A$606)&lt;&gt;590)*($L$7:$L$606&lt;=$M590)*($M$7:$M$606&gt;=$L590))&gt;0,"⚠ Çakışma","OK")))</f>
        <v/>
      </c>
      <c r="P590" s="28" t="str">
        <f aca="false">IF($A590="","",IF(OR($K590="",$H590="",$L590=""),"",IF(SUMPRODUCT(($A$7:$A$606&lt;&gt;"")*($K$7:$K$606=$K590)*($H$7:$H$606=$H590)*(ROW($A$7:$A$606)&lt;&gt;590)*($L$7:$L$606&lt;=$M590)*($M$7:$M$606&gt;=$L590))&gt;0,"⚠ Çakışma","OK")))</f>
        <v/>
      </c>
      <c r="Q590" s="28" t="str">
        <f aca="false">IF($A590="","",IF(OR($E590="",$H590="",$L590=""),"",IF(SUMPRODUCT(($A$7:$A$606&lt;&gt;"")*($E$7:$E$606=$E590)*($H$7:$H$606=$H590)*(ROW($A$7:$A$606)&lt;&gt;590)*($L$7:$L$606&lt;=$M590)*($M$7:$M$606&gt;=$L590))&gt;0,"⚠ Çakışma","OK")))</f>
        <v/>
      </c>
      <c r="R590" s="28" t="str">
        <f aca="false">IF($A590="","",IF(OR($N590&lt;&gt;"",$O590="⚠ Çakışma",$P590="⚠ Çakışma",$Q590="⚠ Çakışma"),"⚠ Kontrol Et","✓ Uygun"))</f>
        <v/>
      </c>
    </row>
    <row r="591" customFormat="false" ht="13.5" hidden="false" customHeight="true" outlineLevel="0" collapsed="false">
      <c r="A591" s="28" t="str">
        <f aca="false">IF('3-Turizm İşletmeciliği'!A188="","","Turizm İşletmeciliği")</f>
        <v/>
      </c>
      <c r="B591" s="28" t="str">
        <f aca="false">IF($A591="","",IF('3-Turizm İşletmeciliği'!A188="","",'3-Turizm İşletmeciliği'!A188))</f>
        <v/>
      </c>
      <c r="C591" s="29" t="str">
        <f aca="false">IF($A591="","",IF('3-Turizm İşletmeciliği'!B188="","",'3-Turizm İşletmeciliği'!B188))</f>
        <v/>
      </c>
      <c r="D591" s="28" t="str">
        <f aca="false">IF($A591="","",IF('3-Turizm İşletmeciliği'!C188="","",'3-Turizm İşletmeciliği'!C188))</f>
        <v/>
      </c>
      <c r="E591" s="28" t="str">
        <f aca="false">IF($A591="","",$A591&amp;"-"&amp;$D591)</f>
        <v/>
      </c>
      <c r="F591" s="28" t="str">
        <f aca="false">IF($A591="","",IF('3-Turizm İşletmeciliği'!D188="","",'3-Turizm İşletmeciliği'!D188))</f>
        <v/>
      </c>
      <c r="G591" s="28" t="str">
        <f aca="false">IF($A591="","",IF('3-Turizm İşletmeciliği'!E188="","",'3-Turizm İşletmeciliği'!E188))</f>
        <v/>
      </c>
      <c r="H591" s="28" t="str">
        <f aca="false">IF($A591="","",IF('3-Turizm İşletmeciliği'!F188="","",'3-Turizm İşletmeciliği'!F188))</f>
        <v/>
      </c>
      <c r="I591" s="28" t="str">
        <f aca="false">IF($A591="","",IF('3-Turizm İşletmeciliği'!G188="","",'3-Turizm İşletmeciliği'!G188))</f>
        <v/>
      </c>
      <c r="J591" s="28" t="str">
        <f aca="false">IF($A591="","",IF('3-Turizm İşletmeciliği'!H188="","",'3-Turizm İşletmeciliği'!H188))</f>
        <v/>
      </c>
      <c r="K591" s="28" t="str">
        <f aca="false">IF($A591="","",IF('3-Turizm İşletmeciliği'!I188="","",'3-Turizm İşletmeciliği'!I188))</f>
        <v/>
      </c>
      <c r="L591" s="28" t="str">
        <f aca="false">IF($I591="","",MATCH($I591,{"08.00";"09.00";"10.00";"11.00";"12.00";"13.00";"14.00";"15.00";"16.00";"17.00"},0))</f>
        <v/>
      </c>
      <c r="M591" s="28" t="str">
        <f aca="false">IF(OR($L591="",$J591=""),"",$L591+$J591-1)</f>
        <v/>
      </c>
      <c r="N591" s="28" t="str">
        <f aca="false">IF($A591="","",IF(OR($L591="",$M591=""),"",IF($M591&gt;10,"⚠ Saat Taşıyor","")))</f>
        <v/>
      </c>
      <c r="O591" s="28" t="str">
        <f aca="false">IF($A591="","",IF(OR($G591="",$H591="",$L591=""),"",IF(SUMPRODUCT(($A$7:$A$606&lt;&gt;"")*($G$7:$G$606=$G591)*($H$7:$H$606=$H591)*(ROW($A$7:$A$606)&lt;&gt;591)*($L$7:$L$606&lt;=$M591)*($M$7:$M$606&gt;=$L591))&gt;0,"⚠ Çakışma","OK")))</f>
        <v/>
      </c>
      <c r="P591" s="28" t="str">
        <f aca="false">IF($A591="","",IF(OR($K591="",$H591="",$L591=""),"",IF(SUMPRODUCT(($A$7:$A$606&lt;&gt;"")*($K$7:$K$606=$K591)*($H$7:$H$606=$H591)*(ROW($A$7:$A$606)&lt;&gt;591)*($L$7:$L$606&lt;=$M591)*($M$7:$M$606&gt;=$L591))&gt;0,"⚠ Çakışma","OK")))</f>
        <v/>
      </c>
      <c r="Q591" s="28" t="str">
        <f aca="false">IF($A591="","",IF(OR($E591="",$H591="",$L591=""),"",IF(SUMPRODUCT(($A$7:$A$606&lt;&gt;"")*($E$7:$E$606=$E591)*($H$7:$H$606=$H591)*(ROW($A$7:$A$606)&lt;&gt;591)*($L$7:$L$606&lt;=$M591)*($M$7:$M$606&gt;=$L591))&gt;0,"⚠ Çakışma","OK")))</f>
        <v/>
      </c>
      <c r="R591" s="28" t="str">
        <f aca="false">IF($A591="","",IF(OR($N591&lt;&gt;"",$O591="⚠ Çakışma",$P591="⚠ Çakışma",$Q591="⚠ Çakışma"),"⚠ Kontrol Et","✓ Uygun"))</f>
        <v/>
      </c>
    </row>
    <row r="592" customFormat="false" ht="13.5" hidden="false" customHeight="true" outlineLevel="0" collapsed="false">
      <c r="A592" s="28" t="str">
        <f aca="false">IF('3-Turizm İşletmeciliği'!A189="","","Turizm İşletmeciliği")</f>
        <v/>
      </c>
      <c r="B592" s="28" t="str">
        <f aca="false">IF($A592="","",IF('3-Turizm İşletmeciliği'!A189="","",'3-Turizm İşletmeciliği'!A189))</f>
        <v/>
      </c>
      <c r="C592" s="29" t="str">
        <f aca="false">IF($A592="","",IF('3-Turizm İşletmeciliği'!B189="","",'3-Turizm İşletmeciliği'!B189))</f>
        <v/>
      </c>
      <c r="D592" s="28" t="str">
        <f aca="false">IF($A592="","",IF('3-Turizm İşletmeciliği'!C189="","",'3-Turizm İşletmeciliği'!C189))</f>
        <v/>
      </c>
      <c r="E592" s="28" t="str">
        <f aca="false">IF($A592="","",$A592&amp;"-"&amp;$D592)</f>
        <v/>
      </c>
      <c r="F592" s="28" t="str">
        <f aca="false">IF($A592="","",IF('3-Turizm İşletmeciliği'!D189="","",'3-Turizm İşletmeciliği'!D189))</f>
        <v/>
      </c>
      <c r="G592" s="28" t="str">
        <f aca="false">IF($A592="","",IF('3-Turizm İşletmeciliği'!E189="","",'3-Turizm İşletmeciliği'!E189))</f>
        <v/>
      </c>
      <c r="H592" s="28" t="str">
        <f aca="false">IF($A592="","",IF('3-Turizm İşletmeciliği'!F189="","",'3-Turizm İşletmeciliği'!F189))</f>
        <v/>
      </c>
      <c r="I592" s="28" t="str">
        <f aca="false">IF($A592="","",IF('3-Turizm İşletmeciliği'!G189="","",'3-Turizm İşletmeciliği'!G189))</f>
        <v/>
      </c>
      <c r="J592" s="28" t="str">
        <f aca="false">IF($A592="","",IF('3-Turizm İşletmeciliği'!H189="","",'3-Turizm İşletmeciliği'!H189))</f>
        <v/>
      </c>
      <c r="K592" s="28" t="str">
        <f aca="false">IF($A592="","",IF('3-Turizm İşletmeciliği'!I189="","",'3-Turizm İşletmeciliği'!I189))</f>
        <v/>
      </c>
      <c r="L592" s="28" t="str">
        <f aca="false">IF($I592="","",MATCH($I592,{"08.00";"09.00";"10.00";"11.00";"12.00";"13.00";"14.00";"15.00";"16.00";"17.00"},0))</f>
        <v/>
      </c>
      <c r="M592" s="28" t="str">
        <f aca="false">IF(OR($L592="",$J592=""),"",$L592+$J592-1)</f>
        <v/>
      </c>
      <c r="N592" s="28" t="str">
        <f aca="false">IF($A592="","",IF(OR($L592="",$M592=""),"",IF($M592&gt;10,"⚠ Saat Taşıyor","")))</f>
        <v/>
      </c>
      <c r="O592" s="28" t="str">
        <f aca="false">IF($A592="","",IF(OR($G592="",$H592="",$L592=""),"",IF(SUMPRODUCT(($A$7:$A$606&lt;&gt;"")*($G$7:$G$606=$G592)*($H$7:$H$606=$H592)*(ROW($A$7:$A$606)&lt;&gt;592)*($L$7:$L$606&lt;=$M592)*($M$7:$M$606&gt;=$L592))&gt;0,"⚠ Çakışma","OK")))</f>
        <v/>
      </c>
      <c r="P592" s="28" t="str">
        <f aca="false">IF($A592="","",IF(OR($K592="",$H592="",$L592=""),"",IF(SUMPRODUCT(($A$7:$A$606&lt;&gt;"")*($K$7:$K$606=$K592)*($H$7:$H$606=$H592)*(ROW($A$7:$A$606)&lt;&gt;592)*($L$7:$L$606&lt;=$M592)*($M$7:$M$606&gt;=$L592))&gt;0,"⚠ Çakışma","OK")))</f>
        <v/>
      </c>
      <c r="Q592" s="28" t="str">
        <f aca="false">IF($A592="","",IF(OR($E592="",$H592="",$L592=""),"",IF(SUMPRODUCT(($A$7:$A$606&lt;&gt;"")*($E$7:$E$606=$E592)*($H$7:$H$606=$H592)*(ROW($A$7:$A$606)&lt;&gt;592)*($L$7:$L$606&lt;=$M592)*($M$7:$M$606&gt;=$L592))&gt;0,"⚠ Çakışma","OK")))</f>
        <v/>
      </c>
      <c r="R592" s="28" t="str">
        <f aca="false">IF($A592="","",IF(OR($N592&lt;&gt;"",$O592="⚠ Çakışma",$P592="⚠ Çakışma",$Q592="⚠ Çakışma"),"⚠ Kontrol Et","✓ Uygun"))</f>
        <v/>
      </c>
    </row>
    <row r="593" customFormat="false" ht="13.5" hidden="false" customHeight="true" outlineLevel="0" collapsed="false">
      <c r="A593" s="28" t="str">
        <f aca="false">IF('3-Turizm İşletmeciliği'!A190="","","Turizm İşletmeciliği")</f>
        <v/>
      </c>
      <c r="B593" s="28" t="str">
        <f aca="false">IF($A593="","",IF('3-Turizm İşletmeciliği'!A190="","",'3-Turizm İşletmeciliği'!A190))</f>
        <v/>
      </c>
      <c r="C593" s="29" t="str">
        <f aca="false">IF($A593="","",IF('3-Turizm İşletmeciliği'!B190="","",'3-Turizm İşletmeciliği'!B190))</f>
        <v/>
      </c>
      <c r="D593" s="28" t="str">
        <f aca="false">IF($A593="","",IF('3-Turizm İşletmeciliği'!C190="","",'3-Turizm İşletmeciliği'!C190))</f>
        <v/>
      </c>
      <c r="E593" s="28" t="str">
        <f aca="false">IF($A593="","",$A593&amp;"-"&amp;$D593)</f>
        <v/>
      </c>
      <c r="F593" s="28" t="str">
        <f aca="false">IF($A593="","",IF('3-Turizm İşletmeciliği'!D190="","",'3-Turizm İşletmeciliği'!D190))</f>
        <v/>
      </c>
      <c r="G593" s="28" t="str">
        <f aca="false">IF($A593="","",IF('3-Turizm İşletmeciliği'!E190="","",'3-Turizm İşletmeciliği'!E190))</f>
        <v/>
      </c>
      <c r="H593" s="28" t="str">
        <f aca="false">IF($A593="","",IF('3-Turizm İşletmeciliği'!F190="","",'3-Turizm İşletmeciliği'!F190))</f>
        <v/>
      </c>
      <c r="I593" s="28" t="str">
        <f aca="false">IF($A593="","",IF('3-Turizm İşletmeciliği'!G190="","",'3-Turizm İşletmeciliği'!G190))</f>
        <v/>
      </c>
      <c r="J593" s="28" t="str">
        <f aca="false">IF($A593="","",IF('3-Turizm İşletmeciliği'!H190="","",'3-Turizm İşletmeciliği'!H190))</f>
        <v/>
      </c>
      <c r="K593" s="28" t="str">
        <f aca="false">IF($A593="","",IF('3-Turizm İşletmeciliği'!I190="","",'3-Turizm İşletmeciliği'!I190))</f>
        <v/>
      </c>
      <c r="L593" s="28" t="str">
        <f aca="false">IF($I593="","",MATCH($I593,{"08.00";"09.00";"10.00";"11.00";"12.00";"13.00";"14.00";"15.00";"16.00";"17.00"},0))</f>
        <v/>
      </c>
      <c r="M593" s="28" t="str">
        <f aca="false">IF(OR($L593="",$J593=""),"",$L593+$J593-1)</f>
        <v/>
      </c>
      <c r="N593" s="28" t="str">
        <f aca="false">IF($A593="","",IF(OR($L593="",$M593=""),"",IF($M593&gt;10,"⚠ Saat Taşıyor","")))</f>
        <v/>
      </c>
      <c r="O593" s="28" t="str">
        <f aca="false">IF($A593="","",IF(OR($G593="",$H593="",$L593=""),"",IF(SUMPRODUCT(($A$7:$A$606&lt;&gt;"")*($G$7:$G$606=$G593)*($H$7:$H$606=$H593)*(ROW($A$7:$A$606)&lt;&gt;593)*($L$7:$L$606&lt;=$M593)*($M$7:$M$606&gt;=$L593))&gt;0,"⚠ Çakışma","OK")))</f>
        <v/>
      </c>
      <c r="P593" s="28" t="str">
        <f aca="false">IF($A593="","",IF(OR($K593="",$H593="",$L593=""),"",IF(SUMPRODUCT(($A$7:$A$606&lt;&gt;"")*($K$7:$K$606=$K593)*($H$7:$H$606=$H593)*(ROW($A$7:$A$606)&lt;&gt;593)*($L$7:$L$606&lt;=$M593)*($M$7:$M$606&gt;=$L593))&gt;0,"⚠ Çakışma","OK")))</f>
        <v/>
      </c>
      <c r="Q593" s="28" t="str">
        <f aca="false">IF($A593="","",IF(OR($E593="",$H593="",$L593=""),"",IF(SUMPRODUCT(($A$7:$A$606&lt;&gt;"")*($E$7:$E$606=$E593)*($H$7:$H$606=$H593)*(ROW($A$7:$A$606)&lt;&gt;593)*($L$7:$L$606&lt;=$M593)*($M$7:$M$606&gt;=$L593))&gt;0,"⚠ Çakışma","OK")))</f>
        <v/>
      </c>
      <c r="R593" s="28" t="str">
        <f aca="false">IF($A593="","",IF(OR($N593&lt;&gt;"",$O593="⚠ Çakışma",$P593="⚠ Çakışma",$Q593="⚠ Çakışma"),"⚠ Kontrol Et","✓ Uygun"))</f>
        <v/>
      </c>
    </row>
    <row r="594" customFormat="false" ht="13.5" hidden="false" customHeight="true" outlineLevel="0" collapsed="false">
      <c r="A594" s="28" t="str">
        <f aca="false">IF('3-Turizm İşletmeciliği'!A191="","","Turizm İşletmeciliği")</f>
        <v/>
      </c>
      <c r="B594" s="28" t="str">
        <f aca="false">IF($A594="","",IF('3-Turizm İşletmeciliği'!A191="","",'3-Turizm İşletmeciliği'!A191))</f>
        <v/>
      </c>
      <c r="C594" s="29" t="str">
        <f aca="false">IF($A594="","",IF('3-Turizm İşletmeciliği'!B191="","",'3-Turizm İşletmeciliği'!B191))</f>
        <v/>
      </c>
      <c r="D594" s="28" t="str">
        <f aca="false">IF($A594="","",IF('3-Turizm İşletmeciliği'!C191="","",'3-Turizm İşletmeciliği'!C191))</f>
        <v/>
      </c>
      <c r="E594" s="28" t="str">
        <f aca="false">IF($A594="","",$A594&amp;"-"&amp;$D594)</f>
        <v/>
      </c>
      <c r="F594" s="28" t="str">
        <f aca="false">IF($A594="","",IF('3-Turizm İşletmeciliği'!D191="","",'3-Turizm İşletmeciliği'!D191))</f>
        <v/>
      </c>
      <c r="G594" s="28" t="str">
        <f aca="false">IF($A594="","",IF('3-Turizm İşletmeciliği'!E191="","",'3-Turizm İşletmeciliği'!E191))</f>
        <v/>
      </c>
      <c r="H594" s="28" t="str">
        <f aca="false">IF($A594="","",IF('3-Turizm İşletmeciliği'!F191="","",'3-Turizm İşletmeciliği'!F191))</f>
        <v/>
      </c>
      <c r="I594" s="28" t="str">
        <f aca="false">IF($A594="","",IF('3-Turizm İşletmeciliği'!G191="","",'3-Turizm İşletmeciliği'!G191))</f>
        <v/>
      </c>
      <c r="J594" s="28" t="str">
        <f aca="false">IF($A594="","",IF('3-Turizm İşletmeciliği'!H191="","",'3-Turizm İşletmeciliği'!H191))</f>
        <v/>
      </c>
      <c r="K594" s="28" t="str">
        <f aca="false">IF($A594="","",IF('3-Turizm İşletmeciliği'!I191="","",'3-Turizm İşletmeciliği'!I191))</f>
        <v/>
      </c>
      <c r="L594" s="28" t="str">
        <f aca="false">IF($I594="","",MATCH($I594,{"08.00";"09.00";"10.00";"11.00";"12.00";"13.00";"14.00";"15.00";"16.00";"17.00"},0))</f>
        <v/>
      </c>
      <c r="M594" s="28" t="str">
        <f aca="false">IF(OR($L594="",$J594=""),"",$L594+$J594-1)</f>
        <v/>
      </c>
      <c r="N594" s="28" t="str">
        <f aca="false">IF($A594="","",IF(OR($L594="",$M594=""),"",IF($M594&gt;10,"⚠ Saat Taşıyor","")))</f>
        <v/>
      </c>
      <c r="O594" s="28" t="str">
        <f aca="false">IF($A594="","",IF(OR($G594="",$H594="",$L594=""),"",IF(SUMPRODUCT(($A$7:$A$606&lt;&gt;"")*($G$7:$G$606=$G594)*($H$7:$H$606=$H594)*(ROW($A$7:$A$606)&lt;&gt;594)*($L$7:$L$606&lt;=$M594)*($M$7:$M$606&gt;=$L594))&gt;0,"⚠ Çakışma","OK")))</f>
        <v/>
      </c>
      <c r="P594" s="28" t="str">
        <f aca="false">IF($A594="","",IF(OR($K594="",$H594="",$L594=""),"",IF(SUMPRODUCT(($A$7:$A$606&lt;&gt;"")*($K$7:$K$606=$K594)*($H$7:$H$606=$H594)*(ROW($A$7:$A$606)&lt;&gt;594)*($L$7:$L$606&lt;=$M594)*($M$7:$M$606&gt;=$L594))&gt;0,"⚠ Çakışma","OK")))</f>
        <v/>
      </c>
      <c r="Q594" s="28" t="str">
        <f aca="false">IF($A594="","",IF(OR($E594="",$H594="",$L594=""),"",IF(SUMPRODUCT(($A$7:$A$606&lt;&gt;"")*($E$7:$E$606=$E594)*($H$7:$H$606=$H594)*(ROW($A$7:$A$606)&lt;&gt;594)*($L$7:$L$606&lt;=$M594)*($M$7:$M$606&gt;=$L594))&gt;0,"⚠ Çakışma","OK")))</f>
        <v/>
      </c>
      <c r="R594" s="28" t="str">
        <f aca="false">IF($A594="","",IF(OR($N594&lt;&gt;"",$O594="⚠ Çakışma",$P594="⚠ Çakışma",$Q594="⚠ Çakışma"),"⚠ Kontrol Et","✓ Uygun"))</f>
        <v/>
      </c>
    </row>
    <row r="595" customFormat="false" ht="13.5" hidden="false" customHeight="true" outlineLevel="0" collapsed="false">
      <c r="A595" s="28" t="str">
        <f aca="false">IF('3-Turizm İşletmeciliği'!A192="","","Turizm İşletmeciliği")</f>
        <v/>
      </c>
      <c r="B595" s="28" t="str">
        <f aca="false">IF($A595="","",IF('3-Turizm İşletmeciliği'!A192="","",'3-Turizm İşletmeciliği'!A192))</f>
        <v/>
      </c>
      <c r="C595" s="29" t="str">
        <f aca="false">IF($A595="","",IF('3-Turizm İşletmeciliği'!B192="","",'3-Turizm İşletmeciliği'!B192))</f>
        <v/>
      </c>
      <c r="D595" s="28" t="str">
        <f aca="false">IF($A595="","",IF('3-Turizm İşletmeciliği'!C192="","",'3-Turizm İşletmeciliği'!C192))</f>
        <v/>
      </c>
      <c r="E595" s="28" t="str">
        <f aca="false">IF($A595="","",$A595&amp;"-"&amp;$D595)</f>
        <v/>
      </c>
      <c r="F595" s="28" t="str">
        <f aca="false">IF($A595="","",IF('3-Turizm İşletmeciliği'!D192="","",'3-Turizm İşletmeciliği'!D192))</f>
        <v/>
      </c>
      <c r="G595" s="28" t="str">
        <f aca="false">IF($A595="","",IF('3-Turizm İşletmeciliği'!E192="","",'3-Turizm İşletmeciliği'!E192))</f>
        <v/>
      </c>
      <c r="H595" s="28" t="str">
        <f aca="false">IF($A595="","",IF('3-Turizm İşletmeciliği'!F192="","",'3-Turizm İşletmeciliği'!F192))</f>
        <v/>
      </c>
      <c r="I595" s="28" t="str">
        <f aca="false">IF($A595="","",IF('3-Turizm İşletmeciliği'!G192="","",'3-Turizm İşletmeciliği'!G192))</f>
        <v/>
      </c>
      <c r="J595" s="28" t="str">
        <f aca="false">IF($A595="","",IF('3-Turizm İşletmeciliği'!H192="","",'3-Turizm İşletmeciliği'!H192))</f>
        <v/>
      </c>
      <c r="K595" s="28" t="str">
        <f aca="false">IF($A595="","",IF('3-Turizm İşletmeciliği'!I192="","",'3-Turizm İşletmeciliği'!I192))</f>
        <v/>
      </c>
      <c r="L595" s="28" t="str">
        <f aca="false">IF($I595="","",MATCH($I595,{"08.00";"09.00";"10.00";"11.00";"12.00";"13.00";"14.00";"15.00";"16.00";"17.00"},0))</f>
        <v/>
      </c>
      <c r="M595" s="28" t="str">
        <f aca="false">IF(OR($L595="",$J595=""),"",$L595+$J595-1)</f>
        <v/>
      </c>
      <c r="N595" s="28" t="str">
        <f aca="false">IF($A595="","",IF(OR($L595="",$M595=""),"",IF($M595&gt;10,"⚠ Saat Taşıyor","")))</f>
        <v/>
      </c>
      <c r="O595" s="28" t="str">
        <f aca="false">IF($A595="","",IF(OR($G595="",$H595="",$L595=""),"",IF(SUMPRODUCT(($A$7:$A$606&lt;&gt;"")*($G$7:$G$606=$G595)*($H$7:$H$606=$H595)*(ROW($A$7:$A$606)&lt;&gt;595)*($L$7:$L$606&lt;=$M595)*($M$7:$M$606&gt;=$L595))&gt;0,"⚠ Çakışma","OK")))</f>
        <v/>
      </c>
      <c r="P595" s="28" t="str">
        <f aca="false">IF($A595="","",IF(OR($K595="",$H595="",$L595=""),"",IF(SUMPRODUCT(($A$7:$A$606&lt;&gt;"")*($K$7:$K$606=$K595)*($H$7:$H$606=$H595)*(ROW($A$7:$A$606)&lt;&gt;595)*($L$7:$L$606&lt;=$M595)*($M$7:$M$606&gt;=$L595))&gt;0,"⚠ Çakışma","OK")))</f>
        <v/>
      </c>
      <c r="Q595" s="28" t="str">
        <f aca="false">IF($A595="","",IF(OR($E595="",$H595="",$L595=""),"",IF(SUMPRODUCT(($A$7:$A$606&lt;&gt;"")*($E$7:$E$606=$E595)*($H$7:$H$606=$H595)*(ROW($A$7:$A$606)&lt;&gt;595)*($L$7:$L$606&lt;=$M595)*($M$7:$M$606&gt;=$L595))&gt;0,"⚠ Çakışma","OK")))</f>
        <v/>
      </c>
      <c r="R595" s="28" t="str">
        <f aca="false">IF($A595="","",IF(OR($N595&lt;&gt;"",$O595="⚠ Çakışma",$P595="⚠ Çakışma",$Q595="⚠ Çakışma"),"⚠ Kontrol Et","✓ Uygun"))</f>
        <v/>
      </c>
    </row>
    <row r="596" customFormat="false" ht="13.5" hidden="false" customHeight="true" outlineLevel="0" collapsed="false">
      <c r="A596" s="28" t="str">
        <f aca="false">IF('3-Turizm İşletmeciliği'!A193="","","Turizm İşletmeciliği")</f>
        <v/>
      </c>
      <c r="B596" s="28" t="str">
        <f aca="false">IF($A596="","",IF('3-Turizm İşletmeciliği'!A193="","",'3-Turizm İşletmeciliği'!A193))</f>
        <v/>
      </c>
      <c r="C596" s="29" t="str">
        <f aca="false">IF($A596="","",IF('3-Turizm İşletmeciliği'!B193="","",'3-Turizm İşletmeciliği'!B193))</f>
        <v/>
      </c>
      <c r="D596" s="28" t="str">
        <f aca="false">IF($A596="","",IF('3-Turizm İşletmeciliği'!C193="","",'3-Turizm İşletmeciliği'!C193))</f>
        <v/>
      </c>
      <c r="E596" s="28" t="str">
        <f aca="false">IF($A596="","",$A596&amp;"-"&amp;$D596)</f>
        <v/>
      </c>
      <c r="F596" s="28" t="str">
        <f aca="false">IF($A596="","",IF('3-Turizm İşletmeciliği'!D193="","",'3-Turizm İşletmeciliği'!D193))</f>
        <v/>
      </c>
      <c r="G596" s="28" t="str">
        <f aca="false">IF($A596="","",IF('3-Turizm İşletmeciliği'!E193="","",'3-Turizm İşletmeciliği'!E193))</f>
        <v/>
      </c>
      <c r="H596" s="28" t="str">
        <f aca="false">IF($A596="","",IF('3-Turizm İşletmeciliği'!F193="","",'3-Turizm İşletmeciliği'!F193))</f>
        <v/>
      </c>
      <c r="I596" s="28" t="str">
        <f aca="false">IF($A596="","",IF('3-Turizm İşletmeciliği'!G193="","",'3-Turizm İşletmeciliği'!G193))</f>
        <v/>
      </c>
      <c r="J596" s="28" t="str">
        <f aca="false">IF($A596="","",IF('3-Turizm İşletmeciliği'!H193="","",'3-Turizm İşletmeciliği'!H193))</f>
        <v/>
      </c>
      <c r="K596" s="28" t="str">
        <f aca="false">IF($A596="","",IF('3-Turizm İşletmeciliği'!I193="","",'3-Turizm İşletmeciliği'!I193))</f>
        <v/>
      </c>
      <c r="L596" s="28" t="str">
        <f aca="false">IF($I596="","",MATCH($I596,{"08.00";"09.00";"10.00";"11.00";"12.00";"13.00";"14.00";"15.00";"16.00";"17.00"},0))</f>
        <v/>
      </c>
      <c r="M596" s="28" t="str">
        <f aca="false">IF(OR($L596="",$J596=""),"",$L596+$J596-1)</f>
        <v/>
      </c>
      <c r="N596" s="28" t="str">
        <f aca="false">IF($A596="","",IF(OR($L596="",$M596=""),"",IF($M596&gt;10,"⚠ Saat Taşıyor","")))</f>
        <v/>
      </c>
      <c r="O596" s="28" t="str">
        <f aca="false">IF($A596="","",IF(OR($G596="",$H596="",$L596=""),"",IF(SUMPRODUCT(($A$7:$A$606&lt;&gt;"")*($G$7:$G$606=$G596)*($H$7:$H$606=$H596)*(ROW($A$7:$A$606)&lt;&gt;596)*($L$7:$L$606&lt;=$M596)*($M$7:$M$606&gt;=$L596))&gt;0,"⚠ Çakışma","OK")))</f>
        <v/>
      </c>
      <c r="P596" s="28" t="str">
        <f aca="false">IF($A596="","",IF(OR($K596="",$H596="",$L596=""),"",IF(SUMPRODUCT(($A$7:$A$606&lt;&gt;"")*($K$7:$K$606=$K596)*($H$7:$H$606=$H596)*(ROW($A$7:$A$606)&lt;&gt;596)*($L$7:$L$606&lt;=$M596)*($M$7:$M$606&gt;=$L596))&gt;0,"⚠ Çakışma","OK")))</f>
        <v/>
      </c>
      <c r="Q596" s="28" t="str">
        <f aca="false">IF($A596="","",IF(OR($E596="",$H596="",$L596=""),"",IF(SUMPRODUCT(($A$7:$A$606&lt;&gt;"")*($E$7:$E$606=$E596)*($H$7:$H$606=$H596)*(ROW($A$7:$A$606)&lt;&gt;596)*($L$7:$L$606&lt;=$M596)*($M$7:$M$606&gt;=$L596))&gt;0,"⚠ Çakışma","OK")))</f>
        <v/>
      </c>
      <c r="R596" s="28" t="str">
        <f aca="false">IF($A596="","",IF(OR($N596&lt;&gt;"",$O596="⚠ Çakışma",$P596="⚠ Çakışma",$Q596="⚠ Çakışma"),"⚠ Kontrol Et","✓ Uygun"))</f>
        <v/>
      </c>
    </row>
    <row r="597" customFormat="false" ht="13.5" hidden="false" customHeight="true" outlineLevel="0" collapsed="false">
      <c r="A597" s="28" t="str">
        <f aca="false">IF('3-Turizm İşletmeciliği'!A194="","","Turizm İşletmeciliği")</f>
        <v/>
      </c>
      <c r="B597" s="28" t="str">
        <f aca="false">IF($A597="","",IF('3-Turizm İşletmeciliği'!A194="","",'3-Turizm İşletmeciliği'!A194))</f>
        <v/>
      </c>
      <c r="C597" s="29" t="str">
        <f aca="false">IF($A597="","",IF('3-Turizm İşletmeciliği'!B194="","",'3-Turizm İşletmeciliği'!B194))</f>
        <v/>
      </c>
      <c r="D597" s="28" t="str">
        <f aca="false">IF($A597="","",IF('3-Turizm İşletmeciliği'!C194="","",'3-Turizm İşletmeciliği'!C194))</f>
        <v/>
      </c>
      <c r="E597" s="28" t="str">
        <f aca="false">IF($A597="","",$A597&amp;"-"&amp;$D597)</f>
        <v/>
      </c>
      <c r="F597" s="28" t="str">
        <f aca="false">IF($A597="","",IF('3-Turizm İşletmeciliği'!D194="","",'3-Turizm İşletmeciliği'!D194))</f>
        <v/>
      </c>
      <c r="G597" s="28" t="str">
        <f aca="false">IF($A597="","",IF('3-Turizm İşletmeciliği'!E194="","",'3-Turizm İşletmeciliği'!E194))</f>
        <v/>
      </c>
      <c r="H597" s="28" t="str">
        <f aca="false">IF($A597="","",IF('3-Turizm İşletmeciliği'!F194="","",'3-Turizm İşletmeciliği'!F194))</f>
        <v/>
      </c>
      <c r="I597" s="28" t="str">
        <f aca="false">IF($A597="","",IF('3-Turizm İşletmeciliği'!G194="","",'3-Turizm İşletmeciliği'!G194))</f>
        <v/>
      </c>
      <c r="J597" s="28" t="str">
        <f aca="false">IF($A597="","",IF('3-Turizm İşletmeciliği'!H194="","",'3-Turizm İşletmeciliği'!H194))</f>
        <v/>
      </c>
      <c r="K597" s="28" t="str">
        <f aca="false">IF($A597="","",IF('3-Turizm İşletmeciliği'!I194="","",'3-Turizm İşletmeciliği'!I194))</f>
        <v/>
      </c>
      <c r="L597" s="28" t="str">
        <f aca="false">IF($I597="","",MATCH($I597,{"08.00";"09.00";"10.00";"11.00";"12.00";"13.00";"14.00";"15.00";"16.00";"17.00"},0))</f>
        <v/>
      </c>
      <c r="M597" s="28" t="str">
        <f aca="false">IF(OR($L597="",$J597=""),"",$L597+$J597-1)</f>
        <v/>
      </c>
      <c r="N597" s="28" t="str">
        <f aca="false">IF($A597="","",IF(OR($L597="",$M597=""),"",IF($M597&gt;10,"⚠ Saat Taşıyor","")))</f>
        <v/>
      </c>
      <c r="O597" s="28" t="str">
        <f aca="false">IF($A597="","",IF(OR($G597="",$H597="",$L597=""),"",IF(SUMPRODUCT(($A$7:$A$606&lt;&gt;"")*($G$7:$G$606=$G597)*($H$7:$H$606=$H597)*(ROW($A$7:$A$606)&lt;&gt;597)*($L$7:$L$606&lt;=$M597)*($M$7:$M$606&gt;=$L597))&gt;0,"⚠ Çakışma","OK")))</f>
        <v/>
      </c>
      <c r="P597" s="28" t="str">
        <f aca="false">IF($A597="","",IF(OR($K597="",$H597="",$L597=""),"",IF(SUMPRODUCT(($A$7:$A$606&lt;&gt;"")*($K$7:$K$606=$K597)*($H$7:$H$606=$H597)*(ROW($A$7:$A$606)&lt;&gt;597)*($L$7:$L$606&lt;=$M597)*($M$7:$M$606&gt;=$L597))&gt;0,"⚠ Çakışma","OK")))</f>
        <v/>
      </c>
      <c r="Q597" s="28" t="str">
        <f aca="false">IF($A597="","",IF(OR($E597="",$H597="",$L597=""),"",IF(SUMPRODUCT(($A$7:$A$606&lt;&gt;"")*($E$7:$E$606=$E597)*($H$7:$H$606=$H597)*(ROW($A$7:$A$606)&lt;&gt;597)*($L$7:$L$606&lt;=$M597)*($M$7:$M$606&gt;=$L597))&gt;0,"⚠ Çakışma","OK")))</f>
        <v/>
      </c>
      <c r="R597" s="28" t="str">
        <f aca="false">IF($A597="","",IF(OR($N597&lt;&gt;"",$O597="⚠ Çakışma",$P597="⚠ Çakışma",$Q597="⚠ Çakışma"),"⚠ Kontrol Et","✓ Uygun"))</f>
        <v/>
      </c>
    </row>
    <row r="598" customFormat="false" ht="13.5" hidden="false" customHeight="true" outlineLevel="0" collapsed="false">
      <c r="A598" s="28" t="str">
        <f aca="false">IF('3-Turizm İşletmeciliği'!A195="","","Turizm İşletmeciliği")</f>
        <v/>
      </c>
      <c r="B598" s="28" t="str">
        <f aca="false">IF($A598="","",IF('3-Turizm İşletmeciliği'!A195="","",'3-Turizm İşletmeciliği'!A195))</f>
        <v/>
      </c>
      <c r="C598" s="29" t="str">
        <f aca="false">IF($A598="","",IF('3-Turizm İşletmeciliği'!B195="","",'3-Turizm İşletmeciliği'!B195))</f>
        <v/>
      </c>
      <c r="D598" s="28" t="str">
        <f aca="false">IF($A598="","",IF('3-Turizm İşletmeciliği'!C195="","",'3-Turizm İşletmeciliği'!C195))</f>
        <v/>
      </c>
      <c r="E598" s="28" t="str">
        <f aca="false">IF($A598="","",$A598&amp;"-"&amp;$D598)</f>
        <v/>
      </c>
      <c r="F598" s="28" t="str">
        <f aca="false">IF($A598="","",IF('3-Turizm İşletmeciliği'!D195="","",'3-Turizm İşletmeciliği'!D195))</f>
        <v/>
      </c>
      <c r="G598" s="28" t="str">
        <f aca="false">IF($A598="","",IF('3-Turizm İşletmeciliği'!E195="","",'3-Turizm İşletmeciliği'!E195))</f>
        <v/>
      </c>
      <c r="H598" s="28" t="str">
        <f aca="false">IF($A598="","",IF('3-Turizm İşletmeciliği'!F195="","",'3-Turizm İşletmeciliği'!F195))</f>
        <v/>
      </c>
      <c r="I598" s="28" t="str">
        <f aca="false">IF($A598="","",IF('3-Turizm İşletmeciliği'!G195="","",'3-Turizm İşletmeciliği'!G195))</f>
        <v/>
      </c>
      <c r="J598" s="28" t="str">
        <f aca="false">IF($A598="","",IF('3-Turizm İşletmeciliği'!H195="","",'3-Turizm İşletmeciliği'!H195))</f>
        <v/>
      </c>
      <c r="K598" s="28" t="str">
        <f aca="false">IF($A598="","",IF('3-Turizm İşletmeciliği'!I195="","",'3-Turizm İşletmeciliği'!I195))</f>
        <v/>
      </c>
      <c r="L598" s="28" t="str">
        <f aca="false">IF($I598="","",MATCH($I598,{"08.00";"09.00";"10.00";"11.00";"12.00";"13.00";"14.00";"15.00";"16.00";"17.00"},0))</f>
        <v/>
      </c>
      <c r="M598" s="28" t="str">
        <f aca="false">IF(OR($L598="",$J598=""),"",$L598+$J598-1)</f>
        <v/>
      </c>
      <c r="N598" s="28" t="str">
        <f aca="false">IF($A598="","",IF(OR($L598="",$M598=""),"",IF($M598&gt;10,"⚠ Saat Taşıyor","")))</f>
        <v/>
      </c>
      <c r="O598" s="28" t="str">
        <f aca="false">IF($A598="","",IF(OR($G598="",$H598="",$L598=""),"",IF(SUMPRODUCT(($A$7:$A$606&lt;&gt;"")*($G$7:$G$606=$G598)*($H$7:$H$606=$H598)*(ROW($A$7:$A$606)&lt;&gt;598)*($L$7:$L$606&lt;=$M598)*($M$7:$M$606&gt;=$L598))&gt;0,"⚠ Çakışma","OK")))</f>
        <v/>
      </c>
      <c r="P598" s="28" t="str">
        <f aca="false">IF($A598="","",IF(OR($K598="",$H598="",$L598=""),"",IF(SUMPRODUCT(($A$7:$A$606&lt;&gt;"")*($K$7:$K$606=$K598)*($H$7:$H$606=$H598)*(ROW($A$7:$A$606)&lt;&gt;598)*($L$7:$L$606&lt;=$M598)*($M$7:$M$606&gt;=$L598))&gt;0,"⚠ Çakışma","OK")))</f>
        <v/>
      </c>
      <c r="Q598" s="28" t="str">
        <f aca="false">IF($A598="","",IF(OR($E598="",$H598="",$L598=""),"",IF(SUMPRODUCT(($A$7:$A$606&lt;&gt;"")*($E$7:$E$606=$E598)*($H$7:$H$606=$H598)*(ROW($A$7:$A$606)&lt;&gt;598)*($L$7:$L$606&lt;=$M598)*($M$7:$M$606&gt;=$L598))&gt;0,"⚠ Çakışma","OK")))</f>
        <v/>
      </c>
      <c r="R598" s="28" t="str">
        <f aca="false">IF($A598="","",IF(OR($N598&lt;&gt;"",$O598="⚠ Çakışma",$P598="⚠ Çakışma",$Q598="⚠ Çakışma"),"⚠ Kontrol Et","✓ Uygun"))</f>
        <v/>
      </c>
    </row>
    <row r="599" customFormat="false" ht="13.5" hidden="false" customHeight="true" outlineLevel="0" collapsed="false">
      <c r="A599" s="28" t="str">
        <f aca="false">IF('3-Turizm İşletmeciliği'!A196="","","Turizm İşletmeciliği")</f>
        <v/>
      </c>
      <c r="B599" s="28" t="str">
        <f aca="false">IF($A599="","",IF('3-Turizm İşletmeciliği'!A196="","",'3-Turizm İşletmeciliği'!A196))</f>
        <v/>
      </c>
      <c r="C599" s="29" t="str">
        <f aca="false">IF($A599="","",IF('3-Turizm İşletmeciliği'!B196="","",'3-Turizm İşletmeciliği'!B196))</f>
        <v/>
      </c>
      <c r="D599" s="28" t="str">
        <f aca="false">IF($A599="","",IF('3-Turizm İşletmeciliği'!C196="","",'3-Turizm İşletmeciliği'!C196))</f>
        <v/>
      </c>
      <c r="E599" s="28" t="str">
        <f aca="false">IF($A599="","",$A599&amp;"-"&amp;$D599)</f>
        <v/>
      </c>
      <c r="F599" s="28" t="str">
        <f aca="false">IF($A599="","",IF('3-Turizm İşletmeciliği'!D196="","",'3-Turizm İşletmeciliği'!D196))</f>
        <v/>
      </c>
      <c r="G599" s="28" t="str">
        <f aca="false">IF($A599="","",IF('3-Turizm İşletmeciliği'!E196="","",'3-Turizm İşletmeciliği'!E196))</f>
        <v/>
      </c>
      <c r="H599" s="28" t="str">
        <f aca="false">IF($A599="","",IF('3-Turizm İşletmeciliği'!F196="","",'3-Turizm İşletmeciliği'!F196))</f>
        <v/>
      </c>
      <c r="I599" s="28" t="str">
        <f aca="false">IF($A599="","",IF('3-Turizm İşletmeciliği'!G196="","",'3-Turizm İşletmeciliği'!G196))</f>
        <v/>
      </c>
      <c r="J599" s="28" t="str">
        <f aca="false">IF($A599="","",IF('3-Turizm İşletmeciliği'!H196="","",'3-Turizm İşletmeciliği'!H196))</f>
        <v/>
      </c>
      <c r="K599" s="28" t="str">
        <f aca="false">IF($A599="","",IF('3-Turizm İşletmeciliği'!I196="","",'3-Turizm İşletmeciliği'!I196))</f>
        <v/>
      </c>
      <c r="L599" s="28" t="str">
        <f aca="false">IF($I599="","",MATCH($I599,{"08.00";"09.00";"10.00";"11.00";"12.00";"13.00";"14.00";"15.00";"16.00";"17.00"},0))</f>
        <v/>
      </c>
      <c r="M599" s="28" t="str">
        <f aca="false">IF(OR($L599="",$J599=""),"",$L599+$J599-1)</f>
        <v/>
      </c>
      <c r="N599" s="28" t="str">
        <f aca="false">IF($A599="","",IF(OR($L599="",$M599=""),"",IF($M599&gt;10,"⚠ Saat Taşıyor","")))</f>
        <v/>
      </c>
      <c r="O599" s="28" t="str">
        <f aca="false">IF($A599="","",IF(OR($G599="",$H599="",$L599=""),"",IF(SUMPRODUCT(($A$7:$A$606&lt;&gt;"")*($G$7:$G$606=$G599)*($H$7:$H$606=$H599)*(ROW($A$7:$A$606)&lt;&gt;599)*($L$7:$L$606&lt;=$M599)*($M$7:$M$606&gt;=$L599))&gt;0,"⚠ Çakışma","OK")))</f>
        <v/>
      </c>
      <c r="P599" s="28" t="str">
        <f aca="false">IF($A599="","",IF(OR($K599="",$H599="",$L599=""),"",IF(SUMPRODUCT(($A$7:$A$606&lt;&gt;"")*($K$7:$K$606=$K599)*($H$7:$H$606=$H599)*(ROW($A$7:$A$606)&lt;&gt;599)*($L$7:$L$606&lt;=$M599)*($M$7:$M$606&gt;=$L599))&gt;0,"⚠ Çakışma","OK")))</f>
        <v/>
      </c>
      <c r="Q599" s="28" t="str">
        <f aca="false">IF($A599="","",IF(OR($E599="",$H599="",$L599=""),"",IF(SUMPRODUCT(($A$7:$A$606&lt;&gt;"")*($E$7:$E$606=$E599)*($H$7:$H$606=$H599)*(ROW($A$7:$A$606)&lt;&gt;599)*($L$7:$L$606&lt;=$M599)*($M$7:$M$606&gt;=$L599))&gt;0,"⚠ Çakışma","OK")))</f>
        <v/>
      </c>
      <c r="R599" s="28" t="str">
        <f aca="false">IF($A599="","",IF(OR($N599&lt;&gt;"",$O599="⚠ Çakışma",$P599="⚠ Çakışma",$Q599="⚠ Çakışma"),"⚠ Kontrol Et","✓ Uygun"))</f>
        <v/>
      </c>
    </row>
    <row r="600" customFormat="false" ht="13.5" hidden="false" customHeight="true" outlineLevel="0" collapsed="false">
      <c r="A600" s="28" t="str">
        <f aca="false">IF('3-Turizm İşletmeciliği'!A197="","","Turizm İşletmeciliği")</f>
        <v/>
      </c>
      <c r="B600" s="28" t="str">
        <f aca="false">IF($A600="","",IF('3-Turizm İşletmeciliği'!A197="","",'3-Turizm İşletmeciliği'!A197))</f>
        <v/>
      </c>
      <c r="C600" s="29" t="str">
        <f aca="false">IF($A600="","",IF('3-Turizm İşletmeciliği'!B197="","",'3-Turizm İşletmeciliği'!B197))</f>
        <v/>
      </c>
      <c r="D600" s="28" t="str">
        <f aca="false">IF($A600="","",IF('3-Turizm İşletmeciliği'!C197="","",'3-Turizm İşletmeciliği'!C197))</f>
        <v/>
      </c>
      <c r="E600" s="28" t="str">
        <f aca="false">IF($A600="","",$A600&amp;"-"&amp;$D600)</f>
        <v/>
      </c>
      <c r="F600" s="28" t="str">
        <f aca="false">IF($A600="","",IF('3-Turizm İşletmeciliği'!D197="","",'3-Turizm İşletmeciliği'!D197))</f>
        <v/>
      </c>
      <c r="G600" s="28" t="str">
        <f aca="false">IF($A600="","",IF('3-Turizm İşletmeciliği'!E197="","",'3-Turizm İşletmeciliği'!E197))</f>
        <v/>
      </c>
      <c r="H600" s="28" t="str">
        <f aca="false">IF($A600="","",IF('3-Turizm İşletmeciliği'!F197="","",'3-Turizm İşletmeciliği'!F197))</f>
        <v/>
      </c>
      <c r="I600" s="28" t="str">
        <f aca="false">IF($A600="","",IF('3-Turizm İşletmeciliği'!G197="","",'3-Turizm İşletmeciliği'!G197))</f>
        <v/>
      </c>
      <c r="J600" s="28" t="str">
        <f aca="false">IF($A600="","",IF('3-Turizm İşletmeciliği'!H197="","",'3-Turizm İşletmeciliği'!H197))</f>
        <v/>
      </c>
      <c r="K600" s="28" t="str">
        <f aca="false">IF($A600="","",IF('3-Turizm İşletmeciliği'!I197="","",'3-Turizm İşletmeciliği'!I197))</f>
        <v/>
      </c>
      <c r="L600" s="28" t="str">
        <f aca="false">IF($I600="","",MATCH($I600,{"08.00";"09.00";"10.00";"11.00";"12.00";"13.00";"14.00";"15.00";"16.00";"17.00"},0))</f>
        <v/>
      </c>
      <c r="M600" s="28" t="str">
        <f aca="false">IF(OR($L600="",$J600=""),"",$L600+$J600-1)</f>
        <v/>
      </c>
      <c r="N600" s="28" t="str">
        <f aca="false">IF($A600="","",IF(OR($L600="",$M600=""),"",IF($M600&gt;10,"⚠ Saat Taşıyor","")))</f>
        <v/>
      </c>
      <c r="O600" s="28" t="str">
        <f aca="false">IF($A600="","",IF(OR($G600="",$H600="",$L600=""),"",IF(SUMPRODUCT(($A$7:$A$606&lt;&gt;"")*($G$7:$G$606=$G600)*($H$7:$H$606=$H600)*(ROW($A$7:$A$606)&lt;&gt;600)*($L$7:$L$606&lt;=$M600)*($M$7:$M$606&gt;=$L600))&gt;0,"⚠ Çakışma","OK")))</f>
        <v/>
      </c>
      <c r="P600" s="28" t="str">
        <f aca="false">IF($A600="","",IF(OR($K600="",$H600="",$L600=""),"",IF(SUMPRODUCT(($A$7:$A$606&lt;&gt;"")*($K$7:$K$606=$K600)*($H$7:$H$606=$H600)*(ROW($A$7:$A$606)&lt;&gt;600)*($L$7:$L$606&lt;=$M600)*($M$7:$M$606&gt;=$L600))&gt;0,"⚠ Çakışma","OK")))</f>
        <v/>
      </c>
      <c r="Q600" s="28" t="str">
        <f aca="false">IF($A600="","",IF(OR($E600="",$H600="",$L600=""),"",IF(SUMPRODUCT(($A$7:$A$606&lt;&gt;"")*($E$7:$E$606=$E600)*($H$7:$H$606=$H600)*(ROW($A$7:$A$606)&lt;&gt;600)*($L$7:$L$606&lt;=$M600)*($M$7:$M$606&gt;=$L600))&gt;0,"⚠ Çakışma","OK")))</f>
        <v/>
      </c>
      <c r="R600" s="28" t="str">
        <f aca="false">IF($A600="","",IF(OR($N600&lt;&gt;"",$O600="⚠ Çakışma",$P600="⚠ Çakışma",$Q600="⚠ Çakışma"),"⚠ Kontrol Et","✓ Uygun"))</f>
        <v/>
      </c>
    </row>
    <row r="601" customFormat="false" ht="13.5" hidden="false" customHeight="true" outlineLevel="0" collapsed="false">
      <c r="A601" s="28" t="str">
        <f aca="false">IF('3-Turizm İşletmeciliği'!A198="","","Turizm İşletmeciliği")</f>
        <v/>
      </c>
      <c r="B601" s="28" t="str">
        <f aca="false">IF($A601="","",IF('3-Turizm İşletmeciliği'!A198="","",'3-Turizm İşletmeciliği'!A198))</f>
        <v/>
      </c>
      <c r="C601" s="29" t="str">
        <f aca="false">IF($A601="","",IF('3-Turizm İşletmeciliği'!B198="","",'3-Turizm İşletmeciliği'!B198))</f>
        <v/>
      </c>
      <c r="D601" s="28" t="str">
        <f aca="false">IF($A601="","",IF('3-Turizm İşletmeciliği'!C198="","",'3-Turizm İşletmeciliği'!C198))</f>
        <v/>
      </c>
      <c r="E601" s="28" t="str">
        <f aca="false">IF($A601="","",$A601&amp;"-"&amp;$D601)</f>
        <v/>
      </c>
      <c r="F601" s="28" t="str">
        <f aca="false">IF($A601="","",IF('3-Turizm İşletmeciliği'!D198="","",'3-Turizm İşletmeciliği'!D198))</f>
        <v/>
      </c>
      <c r="G601" s="28" t="str">
        <f aca="false">IF($A601="","",IF('3-Turizm İşletmeciliği'!E198="","",'3-Turizm İşletmeciliği'!E198))</f>
        <v/>
      </c>
      <c r="H601" s="28" t="str">
        <f aca="false">IF($A601="","",IF('3-Turizm İşletmeciliği'!F198="","",'3-Turizm İşletmeciliği'!F198))</f>
        <v/>
      </c>
      <c r="I601" s="28" t="str">
        <f aca="false">IF($A601="","",IF('3-Turizm İşletmeciliği'!G198="","",'3-Turizm İşletmeciliği'!G198))</f>
        <v/>
      </c>
      <c r="J601" s="28" t="str">
        <f aca="false">IF($A601="","",IF('3-Turizm İşletmeciliği'!H198="","",'3-Turizm İşletmeciliği'!H198))</f>
        <v/>
      </c>
      <c r="K601" s="28" t="str">
        <f aca="false">IF($A601="","",IF('3-Turizm İşletmeciliği'!I198="","",'3-Turizm İşletmeciliği'!I198))</f>
        <v/>
      </c>
      <c r="L601" s="28" t="str">
        <f aca="false">IF($I601="","",MATCH($I601,{"08.00";"09.00";"10.00";"11.00";"12.00";"13.00";"14.00";"15.00";"16.00";"17.00"},0))</f>
        <v/>
      </c>
      <c r="M601" s="28" t="str">
        <f aca="false">IF(OR($L601="",$J601=""),"",$L601+$J601-1)</f>
        <v/>
      </c>
      <c r="N601" s="28" t="str">
        <f aca="false">IF($A601="","",IF(OR($L601="",$M601=""),"",IF($M601&gt;10,"⚠ Saat Taşıyor","")))</f>
        <v/>
      </c>
      <c r="O601" s="28" t="str">
        <f aca="false">IF($A601="","",IF(OR($G601="",$H601="",$L601=""),"",IF(SUMPRODUCT(($A$7:$A$606&lt;&gt;"")*($G$7:$G$606=$G601)*($H$7:$H$606=$H601)*(ROW($A$7:$A$606)&lt;&gt;601)*($L$7:$L$606&lt;=$M601)*($M$7:$M$606&gt;=$L601))&gt;0,"⚠ Çakışma","OK")))</f>
        <v/>
      </c>
      <c r="P601" s="28" t="str">
        <f aca="false">IF($A601="","",IF(OR($K601="",$H601="",$L601=""),"",IF(SUMPRODUCT(($A$7:$A$606&lt;&gt;"")*($K$7:$K$606=$K601)*($H$7:$H$606=$H601)*(ROW($A$7:$A$606)&lt;&gt;601)*($L$7:$L$606&lt;=$M601)*($M$7:$M$606&gt;=$L601))&gt;0,"⚠ Çakışma","OK")))</f>
        <v/>
      </c>
      <c r="Q601" s="28" t="str">
        <f aca="false">IF($A601="","",IF(OR($E601="",$H601="",$L601=""),"",IF(SUMPRODUCT(($A$7:$A$606&lt;&gt;"")*($E$7:$E$606=$E601)*($H$7:$H$606=$H601)*(ROW($A$7:$A$606)&lt;&gt;601)*($L$7:$L$606&lt;=$M601)*($M$7:$M$606&gt;=$L601))&gt;0,"⚠ Çakışma","OK")))</f>
        <v/>
      </c>
      <c r="R601" s="28" t="str">
        <f aca="false">IF($A601="","",IF(OR($N601&lt;&gt;"",$O601="⚠ Çakışma",$P601="⚠ Çakışma",$Q601="⚠ Çakışma"),"⚠ Kontrol Et","✓ Uygun"))</f>
        <v/>
      </c>
    </row>
    <row r="602" customFormat="false" ht="13.5" hidden="false" customHeight="true" outlineLevel="0" collapsed="false">
      <c r="A602" s="28" t="str">
        <f aca="false">IF('3-Turizm İşletmeciliği'!A199="","","Turizm İşletmeciliği")</f>
        <v/>
      </c>
      <c r="B602" s="28" t="str">
        <f aca="false">IF($A602="","",IF('3-Turizm İşletmeciliği'!A199="","",'3-Turizm İşletmeciliği'!A199))</f>
        <v/>
      </c>
      <c r="C602" s="29" t="str">
        <f aca="false">IF($A602="","",IF('3-Turizm İşletmeciliği'!B199="","",'3-Turizm İşletmeciliği'!B199))</f>
        <v/>
      </c>
      <c r="D602" s="28" t="str">
        <f aca="false">IF($A602="","",IF('3-Turizm İşletmeciliği'!C199="","",'3-Turizm İşletmeciliği'!C199))</f>
        <v/>
      </c>
      <c r="E602" s="28" t="str">
        <f aca="false">IF($A602="","",$A602&amp;"-"&amp;$D602)</f>
        <v/>
      </c>
      <c r="F602" s="28" t="str">
        <f aca="false">IF($A602="","",IF('3-Turizm İşletmeciliği'!D199="","",'3-Turizm İşletmeciliği'!D199))</f>
        <v/>
      </c>
      <c r="G602" s="28" t="str">
        <f aca="false">IF($A602="","",IF('3-Turizm İşletmeciliği'!E199="","",'3-Turizm İşletmeciliği'!E199))</f>
        <v/>
      </c>
      <c r="H602" s="28" t="str">
        <f aca="false">IF($A602="","",IF('3-Turizm İşletmeciliği'!F199="","",'3-Turizm İşletmeciliği'!F199))</f>
        <v/>
      </c>
      <c r="I602" s="28" t="str">
        <f aca="false">IF($A602="","",IF('3-Turizm İşletmeciliği'!G199="","",'3-Turizm İşletmeciliği'!G199))</f>
        <v/>
      </c>
      <c r="J602" s="28" t="str">
        <f aca="false">IF($A602="","",IF('3-Turizm İşletmeciliği'!H199="","",'3-Turizm İşletmeciliği'!H199))</f>
        <v/>
      </c>
      <c r="K602" s="28" t="str">
        <f aca="false">IF($A602="","",IF('3-Turizm İşletmeciliği'!I199="","",'3-Turizm İşletmeciliği'!I199))</f>
        <v/>
      </c>
      <c r="L602" s="28" t="str">
        <f aca="false">IF($I602="","",MATCH($I602,{"08.00";"09.00";"10.00";"11.00";"12.00";"13.00";"14.00";"15.00";"16.00";"17.00"},0))</f>
        <v/>
      </c>
      <c r="M602" s="28" t="str">
        <f aca="false">IF(OR($L602="",$J602=""),"",$L602+$J602-1)</f>
        <v/>
      </c>
      <c r="N602" s="28" t="str">
        <f aca="false">IF($A602="","",IF(OR($L602="",$M602=""),"",IF($M602&gt;10,"⚠ Saat Taşıyor","")))</f>
        <v/>
      </c>
      <c r="O602" s="28" t="str">
        <f aca="false">IF($A602="","",IF(OR($G602="",$H602="",$L602=""),"",IF(SUMPRODUCT(($A$7:$A$606&lt;&gt;"")*($G$7:$G$606=$G602)*($H$7:$H$606=$H602)*(ROW($A$7:$A$606)&lt;&gt;602)*($L$7:$L$606&lt;=$M602)*($M$7:$M$606&gt;=$L602))&gt;0,"⚠ Çakışma","OK")))</f>
        <v/>
      </c>
      <c r="P602" s="28" t="str">
        <f aca="false">IF($A602="","",IF(OR($K602="",$H602="",$L602=""),"",IF(SUMPRODUCT(($A$7:$A$606&lt;&gt;"")*($K$7:$K$606=$K602)*($H$7:$H$606=$H602)*(ROW($A$7:$A$606)&lt;&gt;602)*($L$7:$L$606&lt;=$M602)*($M$7:$M$606&gt;=$L602))&gt;0,"⚠ Çakışma","OK")))</f>
        <v/>
      </c>
      <c r="Q602" s="28" t="str">
        <f aca="false">IF($A602="","",IF(OR($E602="",$H602="",$L602=""),"",IF(SUMPRODUCT(($A$7:$A$606&lt;&gt;"")*($E$7:$E$606=$E602)*($H$7:$H$606=$H602)*(ROW($A$7:$A$606)&lt;&gt;602)*($L$7:$L$606&lt;=$M602)*($M$7:$M$606&gt;=$L602))&gt;0,"⚠ Çakışma","OK")))</f>
        <v/>
      </c>
      <c r="R602" s="28" t="str">
        <f aca="false">IF($A602="","",IF(OR($N602&lt;&gt;"",$O602="⚠ Çakışma",$P602="⚠ Çakışma",$Q602="⚠ Çakışma"),"⚠ Kontrol Et","✓ Uygun"))</f>
        <v/>
      </c>
    </row>
    <row r="603" customFormat="false" ht="13.5" hidden="false" customHeight="true" outlineLevel="0" collapsed="false">
      <c r="A603" s="28" t="str">
        <f aca="false">IF('3-Turizm İşletmeciliği'!A200="","","Turizm İşletmeciliği")</f>
        <v/>
      </c>
      <c r="B603" s="28" t="str">
        <f aca="false">IF($A603="","",IF('3-Turizm İşletmeciliği'!A200="","",'3-Turizm İşletmeciliği'!A200))</f>
        <v/>
      </c>
      <c r="C603" s="29" t="str">
        <f aca="false">IF($A603="","",IF('3-Turizm İşletmeciliği'!B200="","",'3-Turizm İşletmeciliği'!B200))</f>
        <v/>
      </c>
      <c r="D603" s="28" t="str">
        <f aca="false">IF($A603="","",IF('3-Turizm İşletmeciliği'!C200="","",'3-Turizm İşletmeciliği'!C200))</f>
        <v/>
      </c>
      <c r="E603" s="28" t="str">
        <f aca="false">IF($A603="","",$A603&amp;"-"&amp;$D603)</f>
        <v/>
      </c>
      <c r="F603" s="28" t="str">
        <f aca="false">IF($A603="","",IF('3-Turizm İşletmeciliği'!D200="","",'3-Turizm İşletmeciliği'!D200))</f>
        <v/>
      </c>
      <c r="G603" s="28" t="str">
        <f aca="false">IF($A603="","",IF('3-Turizm İşletmeciliği'!E200="","",'3-Turizm İşletmeciliği'!E200))</f>
        <v/>
      </c>
      <c r="H603" s="28" t="str">
        <f aca="false">IF($A603="","",IF('3-Turizm İşletmeciliği'!F200="","",'3-Turizm İşletmeciliği'!F200))</f>
        <v/>
      </c>
      <c r="I603" s="28" t="str">
        <f aca="false">IF($A603="","",IF('3-Turizm İşletmeciliği'!G200="","",'3-Turizm İşletmeciliği'!G200))</f>
        <v/>
      </c>
      <c r="J603" s="28" t="str">
        <f aca="false">IF($A603="","",IF('3-Turizm İşletmeciliği'!H200="","",'3-Turizm İşletmeciliği'!H200))</f>
        <v/>
      </c>
      <c r="K603" s="28" t="str">
        <f aca="false">IF($A603="","",IF('3-Turizm İşletmeciliği'!I200="","",'3-Turizm İşletmeciliği'!I200))</f>
        <v/>
      </c>
      <c r="L603" s="28" t="str">
        <f aca="false">IF($I603="","",MATCH($I603,{"08.00";"09.00";"10.00";"11.00";"12.00";"13.00";"14.00";"15.00";"16.00";"17.00"},0))</f>
        <v/>
      </c>
      <c r="M603" s="28" t="str">
        <f aca="false">IF(OR($L603="",$J603=""),"",$L603+$J603-1)</f>
        <v/>
      </c>
      <c r="N603" s="28" t="str">
        <f aca="false">IF($A603="","",IF(OR($L603="",$M603=""),"",IF($M603&gt;10,"⚠ Saat Taşıyor","")))</f>
        <v/>
      </c>
      <c r="O603" s="28" t="str">
        <f aca="false">IF($A603="","",IF(OR($G603="",$H603="",$L603=""),"",IF(SUMPRODUCT(($A$7:$A$606&lt;&gt;"")*($G$7:$G$606=$G603)*($H$7:$H$606=$H603)*(ROW($A$7:$A$606)&lt;&gt;603)*($L$7:$L$606&lt;=$M603)*($M$7:$M$606&gt;=$L603))&gt;0,"⚠ Çakışma","OK")))</f>
        <v/>
      </c>
      <c r="P603" s="28" t="str">
        <f aca="false">IF($A603="","",IF(OR($K603="",$H603="",$L603=""),"",IF(SUMPRODUCT(($A$7:$A$606&lt;&gt;"")*($K$7:$K$606=$K603)*($H$7:$H$606=$H603)*(ROW($A$7:$A$606)&lt;&gt;603)*($L$7:$L$606&lt;=$M603)*($M$7:$M$606&gt;=$L603))&gt;0,"⚠ Çakışma","OK")))</f>
        <v/>
      </c>
      <c r="Q603" s="28" t="str">
        <f aca="false">IF($A603="","",IF(OR($E603="",$H603="",$L603=""),"",IF(SUMPRODUCT(($A$7:$A$606&lt;&gt;"")*($E$7:$E$606=$E603)*($H$7:$H$606=$H603)*(ROW($A$7:$A$606)&lt;&gt;603)*($L$7:$L$606&lt;=$M603)*($M$7:$M$606&gt;=$L603))&gt;0,"⚠ Çakışma","OK")))</f>
        <v/>
      </c>
      <c r="R603" s="28" t="str">
        <f aca="false">IF($A603="","",IF(OR($N603&lt;&gt;"",$O603="⚠ Çakışma",$P603="⚠ Çakışma",$Q603="⚠ Çakışma"),"⚠ Kontrol Et","✓ Uygun"))</f>
        <v/>
      </c>
    </row>
    <row r="604" customFormat="false" ht="13.5" hidden="false" customHeight="true" outlineLevel="0" collapsed="false">
      <c r="A604" s="28" t="str">
        <f aca="false">IF('3-Turizm İşletmeciliği'!A201="","","Turizm İşletmeciliği")</f>
        <v/>
      </c>
      <c r="B604" s="28" t="str">
        <f aca="false">IF($A604="","",IF('3-Turizm İşletmeciliği'!A201="","",'3-Turizm İşletmeciliği'!A201))</f>
        <v/>
      </c>
      <c r="C604" s="29" t="str">
        <f aca="false">IF($A604="","",IF('3-Turizm İşletmeciliği'!B201="","",'3-Turizm İşletmeciliği'!B201))</f>
        <v/>
      </c>
      <c r="D604" s="28" t="str">
        <f aca="false">IF($A604="","",IF('3-Turizm İşletmeciliği'!C201="","",'3-Turizm İşletmeciliği'!C201))</f>
        <v/>
      </c>
      <c r="E604" s="28" t="str">
        <f aca="false">IF($A604="","",$A604&amp;"-"&amp;$D604)</f>
        <v/>
      </c>
      <c r="F604" s="28" t="str">
        <f aca="false">IF($A604="","",IF('3-Turizm İşletmeciliği'!D201="","",'3-Turizm İşletmeciliği'!D201))</f>
        <v/>
      </c>
      <c r="G604" s="28" t="str">
        <f aca="false">IF($A604="","",IF('3-Turizm İşletmeciliği'!E201="","",'3-Turizm İşletmeciliği'!E201))</f>
        <v/>
      </c>
      <c r="H604" s="28" t="str">
        <f aca="false">IF($A604="","",IF('3-Turizm İşletmeciliği'!F201="","",'3-Turizm İşletmeciliği'!F201))</f>
        <v/>
      </c>
      <c r="I604" s="28" t="str">
        <f aca="false">IF($A604="","",IF('3-Turizm İşletmeciliği'!G201="","",'3-Turizm İşletmeciliği'!G201))</f>
        <v/>
      </c>
      <c r="J604" s="28" t="str">
        <f aca="false">IF($A604="","",IF('3-Turizm İşletmeciliği'!H201="","",'3-Turizm İşletmeciliği'!H201))</f>
        <v/>
      </c>
      <c r="K604" s="28" t="str">
        <f aca="false">IF($A604="","",IF('3-Turizm İşletmeciliği'!I201="","",'3-Turizm İşletmeciliği'!I201))</f>
        <v/>
      </c>
      <c r="L604" s="28" t="str">
        <f aca="false">IF($I604="","",MATCH($I604,{"08.00";"09.00";"10.00";"11.00";"12.00";"13.00";"14.00";"15.00";"16.00";"17.00"},0))</f>
        <v/>
      </c>
      <c r="M604" s="28" t="str">
        <f aca="false">IF(OR($L604="",$J604=""),"",$L604+$J604-1)</f>
        <v/>
      </c>
      <c r="N604" s="28" t="str">
        <f aca="false">IF($A604="","",IF(OR($L604="",$M604=""),"",IF($M604&gt;10,"⚠ Saat Taşıyor","")))</f>
        <v/>
      </c>
      <c r="O604" s="28" t="str">
        <f aca="false">IF($A604="","",IF(OR($G604="",$H604="",$L604=""),"",IF(SUMPRODUCT(($A$7:$A$606&lt;&gt;"")*($G$7:$G$606=$G604)*($H$7:$H$606=$H604)*(ROW($A$7:$A$606)&lt;&gt;604)*($L$7:$L$606&lt;=$M604)*($M$7:$M$606&gt;=$L604))&gt;0,"⚠ Çakışma","OK")))</f>
        <v/>
      </c>
      <c r="P604" s="28" t="str">
        <f aca="false">IF($A604="","",IF(OR($K604="",$H604="",$L604=""),"",IF(SUMPRODUCT(($A$7:$A$606&lt;&gt;"")*($K$7:$K$606=$K604)*($H$7:$H$606=$H604)*(ROW($A$7:$A$606)&lt;&gt;604)*($L$7:$L$606&lt;=$M604)*($M$7:$M$606&gt;=$L604))&gt;0,"⚠ Çakışma","OK")))</f>
        <v/>
      </c>
      <c r="Q604" s="28" t="str">
        <f aca="false">IF($A604="","",IF(OR($E604="",$H604="",$L604=""),"",IF(SUMPRODUCT(($A$7:$A$606&lt;&gt;"")*($E$7:$E$606=$E604)*($H$7:$H$606=$H604)*(ROW($A$7:$A$606)&lt;&gt;604)*($L$7:$L$606&lt;=$M604)*($M$7:$M$606&gt;=$L604))&gt;0,"⚠ Çakışma","OK")))</f>
        <v/>
      </c>
      <c r="R604" s="28" t="str">
        <f aca="false">IF($A604="","",IF(OR($N604&lt;&gt;"",$O604="⚠ Çakışma",$P604="⚠ Çakışma",$Q604="⚠ Çakışma"),"⚠ Kontrol Et","✓ Uygun"))</f>
        <v/>
      </c>
    </row>
    <row r="605" customFormat="false" ht="13.5" hidden="false" customHeight="true" outlineLevel="0" collapsed="false">
      <c r="A605" s="28" t="str">
        <f aca="false">IF('3-Turizm İşletmeciliği'!A202="","","Turizm İşletmeciliği")</f>
        <v/>
      </c>
      <c r="B605" s="28" t="str">
        <f aca="false">IF($A605="","",IF('3-Turizm İşletmeciliği'!A202="","",'3-Turizm İşletmeciliği'!A202))</f>
        <v/>
      </c>
      <c r="C605" s="29" t="str">
        <f aca="false">IF($A605="","",IF('3-Turizm İşletmeciliği'!B202="","",'3-Turizm İşletmeciliği'!B202))</f>
        <v/>
      </c>
      <c r="D605" s="28" t="str">
        <f aca="false">IF($A605="","",IF('3-Turizm İşletmeciliği'!C202="","",'3-Turizm İşletmeciliği'!C202))</f>
        <v/>
      </c>
      <c r="E605" s="28" t="str">
        <f aca="false">IF($A605="","",$A605&amp;"-"&amp;$D605)</f>
        <v/>
      </c>
      <c r="F605" s="28" t="str">
        <f aca="false">IF($A605="","",IF('3-Turizm İşletmeciliği'!D202="","",'3-Turizm İşletmeciliği'!D202))</f>
        <v/>
      </c>
      <c r="G605" s="28" t="str">
        <f aca="false">IF($A605="","",IF('3-Turizm İşletmeciliği'!E202="","",'3-Turizm İşletmeciliği'!E202))</f>
        <v/>
      </c>
      <c r="H605" s="28" t="str">
        <f aca="false">IF($A605="","",IF('3-Turizm İşletmeciliği'!F202="","",'3-Turizm İşletmeciliği'!F202))</f>
        <v/>
      </c>
      <c r="I605" s="28" t="str">
        <f aca="false">IF($A605="","",IF('3-Turizm İşletmeciliği'!G202="","",'3-Turizm İşletmeciliği'!G202))</f>
        <v/>
      </c>
      <c r="J605" s="28" t="str">
        <f aca="false">IF($A605="","",IF('3-Turizm İşletmeciliği'!H202="","",'3-Turizm İşletmeciliği'!H202))</f>
        <v/>
      </c>
      <c r="K605" s="28" t="str">
        <f aca="false">IF($A605="","",IF('3-Turizm İşletmeciliği'!I202="","",'3-Turizm İşletmeciliği'!I202))</f>
        <v/>
      </c>
      <c r="L605" s="28" t="str">
        <f aca="false">IF($I605="","",MATCH($I605,{"08.00";"09.00";"10.00";"11.00";"12.00";"13.00";"14.00";"15.00";"16.00";"17.00"},0))</f>
        <v/>
      </c>
      <c r="M605" s="28" t="str">
        <f aca="false">IF(OR($L605="",$J605=""),"",$L605+$J605-1)</f>
        <v/>
      </c>
      <c r="N605" s="28" t="str">
        <f aca="false">IF($A605="","",IF(OR($L605="",$M605=""),"",IF($M605&gt;10,"⚠ Saat Taşıyor","")))</f>
        <v/>
      </c>
      <c r="O605" s="28" t="str">
        <f aca="false">IF($A605="","",IF(OR($G605="",$H605="",$L605=""),"",IF(SUMPRODUCT(($A$7:$A$606&lt;&gt;"")*($G$7:$G$606=$G605)*($H$7:$H$606=$H605)*(ROW($A$7:$A$606)&lt;&gt;605)*($L$7:$L$606&lt;=$M605)*($M$7:$M$606&gt;=$L605))&gt;0,"⚠ Çakışma","OK")))</f>
        <v/>
      </c>
      <c r="P605" s="28" t="str">
        <f aca="false">IF($A605="","",IF(OR($K605="",$H605="",$L605=""),"",IF(SUMPRODUCT(($A$7:$A$606&lt;&gt;"")*($K$7:$K$606=$K605)*($H$7:$H$606=$H605)*(ROW($A$7:$A$606)&lt;&gt;605)*($L$7:$L$606&lt;=$M605)*($M$7:$M$606&gt;=$L605))&gt;0,"⚠ Çakışma","OK")))</f>
        <v/>
      </c>
      <c r="Q605" s="28" t="str">
        <f aca="false">IF($A605="","",IF(OR($E605="",$H605="",$L605=""),"",IF(SUMPRODUCT(($A$7:$A$606&lt;&gt;"")*($E$7:$E$606=$E605)*($H$7:$H$606=$H605)*(ROW($A$7:$A$606)&lt;&gt;605)*($L$7:$L$606&lt;=$M605)*($M$7:$M$606&gt;=$L605))&gt;0,"⚠ Çakışma","OK")))</f>
        <v/>
      </c>
      <c r="R605" s="28" t="str">
        <f aca="false">IF($A605="","",IF(OR($N605&lt;&gt;"",$O605="⚠ Çakışma",$P605="⚠ Çakışma",$Q605="⚠ Çakışma"),"⚠ Kontrol Et","✓ Uygun"))</f>
        <v/>
      </c>
    </row>
    <row r="606" customFormat="false" ht="13.5" hidden="false" customHeight="true" outlineLevel="0" collapsed="false">
      <c r="A606" s="28" t="str">
        <f aca="false">IF('3-Turizm İşletmeciliği'!A203="","","Turizm İşletmeciliği")</f>
        <v/>
      </c>
      <c r="B606" s="28" t="str">
        <f aca="false">IF($A606="","",IF('3-Turizm İşletmeciliği'!A203="","",'3-Turizm İşletmeciliği'!A203))</f>
        <v/>
      </c>
      <c r="C606" s="29" t="str">
        <f aca="false">IF($A606="","",IF('3-Turizm İşletmeciliği'!B203="","",'3-Turizm İşletmeciliği'!B203))</f>
        <v/>
      </c>
      <c r="D606" s="28" t="str">
        <f aca="false">IF($A606="","",IF('3-Turizm İşletmeciliği'!C203="","",'3-Turizm İşletmeciliği'!C203))</f>
        <v/>
      </c>
      <c r="E606" s="28" t="str">
        <f aca="false">IF($A606="","",$A606&amp;"-"&amp;$D606)</f>
        <v/>
      </c>
      <c r="F606" s="28" t="str">
        <f aca="false">IF($A606="","",IF('3-Turizm İşletmeciliği'!D203="","",'3-Turizm İşletmeciliği'!D203))</f>
        <v/>
      </c>
      <c r="G606" s="28" t="str">
        <f aca="false">IF($A606="","",IF('3-Turizm İşletmeciliği'!E203="","",'3-Turizm İşletmeciliği'!E203))</f>
        <v/>
      </c>
      <c r="H606" s="28" t="str">
        <f aca="false">IF($A606="","",IF('3-Turizm İşletmeciliği'!F203="","",'3-Turizm İşletmeciliği'!F203))</f>
        <v/>
      </c>
      <c r="I606" s="28" t="str">
        <f aca="false">IF($A606="","",IF('3-Turizm İşletmeciliği'!G203="","",'3-Turizm İşletmeciliği'!G203))</f>
        <v/>
      </c>
      <c r="J606" s="28" t="str">
        <f aca="false">IF($A606="","",IF('3-Turizm İşletmeciliği'!H203="","",'3-Turizm İşletmeciliği'!H203))</f>
        <v/>
      </c>
      <c r="K606" s="28" t="str">
        <f aca="false">IF($A606="","",IF('3-Turizm İşletmeciliği'!I203="","",'3-Turizm İşletmeciliği'!I203))</f>
        <v/>
      </c>
      <c r="L606" s="28" t="str">
        <f aca="false">IF($I606="","",MATCH($I606,{"08.00";"09.00";"10.00";"11.00";"12.00";"13.00";"14.00";"15.00";"16.00";"17.00"},0))</f>
        <v/>
      </c>
      <c r="M606" s="28" t="str">
        <f aca="false">IF(OR($L606="",$J606=""),"",$L606+$J606-1)</f>
        <v/>
      </c>
      <c r="N606" s="28" t="str">
        <f aca="false">IF($A606="","",IF(OR($L606="",$M606=""),"",IF($M606&gt;10,"⚠ Saat Taşıyor","")))</f>
        <v/>
      </c>
      <c r="O606" s="28" t="str">
        <f aca="false">IF($A606="","",IF(OR($G606="",$H606="",$L606=""),"",IF(SUMPRODUCT(($A$7:$A$606&lt;&gt;"")*($G$7:$G$606=$G606)*($H$7:$H$606=$H606)*(ROW($A$7:$A$606)&lt;&gt;606)*($L$7:$L$606&lt;=$M606)*($M$7:$M$606&gt;=$L606))&gt;0,"⚠ Çakışma","OK")))</f>
        <v/>
      </c>
      <c r="P606" s="28" t="str">
        <f aca="false">IF($A606="","",IF(OR($K606="",$H606="",$L606=""),"",IF(SUMPRODUCT(($A$7:$A$606&lt;&gt;"")*($K$7:$K$606=$K606)*($H$7:$H$606=$H606)*(ROW($A$7:$A$606)&lt;&gt;606)*($L$7:$L$606&lt;=$M606)*($M$7:$M$606&gt;=$L606))&gt;0,"⚠ Çakışma","OK")))</f>
        <v/>
      </c>
      <c r="Q606" s="28" t="str">
        <f aca="false">IF($A606="","",IF(OR($E606="",$H606="",$L606=""),"",IF(SUMPRODUCT(($A$7:$A$606&lt;&gt;"")*($E$7:$E$606=$E606)*($H$7:$H$606=$H606)*(ROW($A$7:$A$606)&lt;&gt;606)*($L$7:$L$606&lt;=$M606)*($M$7:$M$606&gt;=$L606))&gt;0,"⚠ Çakışma","OK")))</f>
        <v/>
      </c>
      <c r="R606" s="28" t="str">
        <f aca="false">IF($A606="","",IF(OR($N606&lt;&gt;"",$O606="⚠ Çakışma",$P606="⚠ Çakışma",$Q606="⚠ Çakışma"),"⚠ Kontrol Et","✓ Uygun"))</f>
        <v/>
      </c>
    </row>
  </sheetData>
  <autoFilter ref="A6:R606"/>
  <mergeCells count="8">
    <mergeCell ref="A1:R1"/>
    <mergeCell ref="A2:R2"/>
    <mergeCell ref="A3:R3"/>
    <mergeCell ref="B4:C4"/>
    <mergeCell ref="E4:F4"/>
    <mergeCell ref="H4:I4"/>
    <mergeCell ref="K4:L4"/>
    <mergeCell ref="N4:O4"/>
  </mergeCells>
  <conditionalFormatting sqref="G4">
    <cfRule type="cellIs" priority="2" operator="equal" aboveAverage="0" equalAverage="0" bottom="0" percent="0" rank="0" text="" dxfId="4">
      <formula>0</formula>
    </cfRule>
    <cfRule type="cellIs" priority="3" operator="greaterThan" aboveAverage="0" equalAverage="0" bottom="0" percent="0" rank="0" text="" dxfId="5">
      <formula>0</formula>
    </cfRule>
  </conditionalFormatting>
  <conditionalFormatting sqref="J4">
    <cfRule type="cellIs" priority="4" operator="equal" aboveAverage="0" equalAverage="0" bottom="0" percent="0" rank="0" text="" dxfId="4">
      <formula>0</formula>
    </cfRule>
    <cfRule type="cellIs" priority="5" operator="greaterThan" aboveAverage="0" equalAverage="0" bottom="0" percent="0" rank="0" text="" dxfId="5">
      <formula>0</formula>
    </cfRule>
  </conditionalFormatting>
  <conditionalFormatting sqref="M4">
    <cfRule type="cellIs" priority="6" operator="equal" aboveAverage="0" equalAverage="0" bottom="0" percent="0" rank="0" text="" dxfId="4">
      <formula>0</formula>
    </cfRule>
    <cfRule type="cellIs" priority="7" operator="greaterThan" aboveAverage="0" equalAverage="0" bottom="0" percent="0" rank="0" text="" dxfId="5">
      <formula>0</formula>
    </cfRule>
  </conditionalFormatting>
  <conditionalFormatting sqref="P4">
    <cfRule type="cellIs" priority="8" operator="equal" aboveAverage="0" equalAverage="0" bottom="0" percent="0" rank="0" text="" dxfId="4">
      <formula>0</formula>
    </cfRule>
    <cfRule type="cellIs" priority="9" operator="greaterThan" aboveAverage="0" equalAverage="0" bottom="0" percent="0" rank="0" text="" dxfId="5">
      <formula>0</formula>
    </cfRule>
  </conditionalFormatting>
  <conditionalFormatting sqref="N7:N606">
    <cfRule type="expression" priority="10" aboveAverage="0" equalAverage="0" bottom="0" percent="0" rank="0" text="" dxfId="6">
      <formula>LEFT(N7,1)="⚠"</formula>
    </cfRule>
  </conditionalFormatting>
  <conditionalFormatting sqref="O7:O606">
    <cfRule type="expression" priority="11" aboveAverage="0" equalAverage="0" bottom="0" percent="0" rank="0" text="" dxfId="6">
      <formula>LEFT(O7,1)="⚠"</formula>
    </cfRule>
  </conditionalFormatting>
  <conditionalFormatting sqref="P7:P606">
    <cfRule type="expression" priority="12" aboveAverage="0" equalAverage="0" bottom="0" percent="0" rank="0" text="" dxfId="6">
      <formula>LEFT(P7,1)="⚠"</formula>
    </cfRule>
  </conditionalFormatting>
  <conditionalFormatting sqref="Q7:Q606">
    <cfRule type="expression" priority="13" aboveAverage="0" equalAverage="0" bottom="0" percent="0" rank="0" text="" dxfId="6">
      <formula>LEFT(Q7,1)="⚠"</formula>
    </cfRule>
  </conditionalFormatting>
  <conditionalFormatting sqref="R7:R606">
    <cfRule type="cellIs" priority="14" operator="equal" aboveAverage="0" equalAverage="0" bottom="0" percent="0" rank="0" text="" dxfId="7">
      <formula>"✓ Uygun"</formula>
    </cfRule>
    <cfRule type="expression" priority="15" aboveAverage="0" equalAverage="0" bottom="0" percent="0" rank="0" text="" dxfId="6">
      <formula>LEFT(R7,1)="⚠"</formula>
    </cfRule>
  </conditionalFormatting>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2026-08-11T21:35:52Z</dcterms:created>
  <dc:creator>openpyxl</dc:creator>
  <dc:description/>
  <dc:language>en-US</dc:language>
  <cp:lastModifiedBy/>
  <dcterms:modified xsi:type="dcterms:W3CDTF">2026-08-11T21:35:53Z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