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limatlar" sheetId="1" state="visible" r:id="rId3"/>
    <sheet name="Öğretim Elemanları" sheetId="2" state="visible" r:id="rId4"/>
    <sheet name="1-Ders Havuzu" sheetId="3" state="visible" r:id="rId5"/>
    <sheet name="2-Ders-Öğr.Elemanı Eşleştirme" sheetId="4" state="visible" r:id="rId6"/>
    <sheet name="3-Kesinleşmiş Atama Listesi" sheetId="5" state="visible" r:id="rId7"/>
    <sheet name="4-Gün-Saat-Derslik Atama" sheetId="6" state="visible" r:id="rId8"/>
    <sheet name="_Yardımcı" sheetId="7" state="hidden" r:id="rId9"/>
    <sheet name="5A-Prog.1.Sınıf" sheetId="8" state="visible" r:id="rId10"/>
    <sheet name="5B-Prog.2.Sınıf" sheetId="9" state="visible" r:id="rId11"/>
    <sheet name="5C-Prog.3.Sınıf" sheetId="10" state="visible" r:id="rId12"/>
    <sheet name="5D-Prog.4.Sınıf" sheetId="11" state="visible" r:id="rId13"/>
  </sheets>
  <definedNames>
    <definedName function="false" hidden="false" localSheetId="2" name="_xlnm.Print_Area" vbProcedure="false">'1-Ders Havuzu'!$A$1:$K$152</definedName>
    <definedName function="false" hidden="false" localSheetId="2" name="_xlnm.Print_Titles" vbProcedure="false">'1-Ders Havuzu'!$1:$2</definedName>
    <definedName function="false" hidden="true" localSheetId="2" name="_xlnm._FilterDatabase" vbProcedure="false">'1-Ders Havuzu'!$A$2:$K$152</definedName>
    <definedName function="false" hidden="false" localSheetId="3" name="_xlnm.Print_Area" vbProcedure="false">'2-Ders-Öğr.Elemanı Eşleştirme'!$A$1:$I$152</definedName>
    <definedName function="false" hidden="false" localSheetId="3" name="_xlnm.Print_Titles" vbProcedure="false">'2-Ders-Öğr.Elemanı Eşleştirme'!$1:$2</definedName>
    <definedName function="false" hidden="true" localSheetId="3" name="_xlnm._FilterDatabase" vbProcedure="false">'2-Ders-Öğr.Elemanı Eşleştirme'!$A$2:$I$152</definedName>
    <definedName function="false" hidden="false" localSheetId="4" name="_xlnm.Print_Area" vbProcedure="false">'3-Kesinleşmiş Atama Listesi'!$A$1:$I$152</definedName>
    <definedName function="false" hidden="false" localSheetId="4" name="_xlnm.Print_Titles" vbProcedure="false">'3-Kesinleşmiş Atama Listesi'!$1:$2</definedName>
    <definedName function="false" hidden="true" localSheetId="4" name="_xlnm._FilterDatabase" vbProcedure="false">'3-Kesinleşmiş Atama Listesi'!$A$2:$I$152</definedName>
    <definedName function="false" hidden="false" localSheetId="5" name="_xlnm.Print_Area" vbProcedure="false">'4-Gün-Saat-Derslik Atama'!$A$1:$T$456</definedName>
    <definedName function="false" hidden="false" localSheetId="5" name="_xlnm.Print_Titles" vbProcedure="false">'4-Gün-Saat-Derslik Atama'!$1:$6</definedName>
    <definedName function="false" hidden="true" localSheetId="5" name="_xlnm._FilterDatabase" vbProcedure="false">'4-Gün-Saat-Derslik Atama'!$A$6:$T$456</definedName>
    <definedName function="false" hidden="false" localSheetId="7" name="_xlnm.Print_Area" vbProcedure="false">'5A-Prog.1.Sınıf'!$A$1:$F$21</definedName>
    <definedName function="false" hidden="false" localSheetId="8" name="_xlnm.Print_Area" vbProcedure="false">'5B-Prog.2.Sınıf'!$A$1:$F$21</definedName>
    <definedName function="false" hidden="false" localSheetId="9" name="_xlnm.Print_Area" vbProcedure="false">'5C-Prog.3.Sınıf'!$A$1:$F$21</definedName>
    <definedName function="false" hidden="false" localSheetId="10" name="_xlnm.Print_Area" vbProcedure="false">'5D-Prog.4.Sınıf'!$A$1:$F$21</definedName>
    <definedName function="false" hidden="false" localSheetId="1" name="_xlnm.Print_Area" vbProcedure="false">'Öğretim Elemanları'!$A$1:$D$49</definedName>
    <definedName function="false" hidden="false" localSheetId="1" name="_xlnm.Print_Titles" vbProcedure="false">'Öğretim Elemanları'!$1:$3</definedName>
    <definedName function="false" hidden="false" localSheetId="0" name="_xlnm.Print_Area" vbProcedure="false">Talimatlar!$A$1:$C$33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<sst xmlns="http://schemas.openxmlformats.org/spreadsheetml/2006/main" count="851" uniqueCount="359">
  <si>
    <t xml:space="preserve">DERS PROGRAMI HAZIRLAMA MOTORU</t>
  </si>
  <si>
    <t xml:space="preserve">Aksaray Üniversitesi Turizm Fakültesi — Turizm Rehberliği Bölümü</t>
  </si>
  <si>
    <t xml:space="preserve">Bu Motor Nasıl Çalışır?</t>
  </si>
  <si>
    <t xml:space="preserve">Bu çalışma kitabı, dönemlik ders programını tek noktadan hazırlayıp değişiklikleri tüm sayfalara otomatik yansıtmak için tasarlanmıştır. Temel prensip: her ders için tüm kararlar (seçim, öğretim elemanı, gün/saat/derslik) o dersin KENDİ satırında toplanır; diğer sayfalar yalnızca bu satırlardan otomatik hesaplanan görünümlerdir.</t>
  </si>
  <si>
    <t xml:space="preserve">1 — Ders Havuzu</t>
  </si>
  <si>
    <t xml:space="preserve">Sayfa: 1-Ders Havuzu</t>
  </si>
  <si>
    <t xml:space="preserve">Bölümün açabileceği tüm dersler burada listelidir. İlgili dönemde açılacak dersin “Seçim” hücresini “Seçildi” yapın. Yeni bir ders eklemeniz gerekirse, listenin altındaki boş satırlara (sarı kenarlıklı alan) yazabilirsiniz.</t>
  </si>
  <si>
    <t xml:space="preserve">2 — Ders / Öğretim Elemanı Eşleştirme</t>
  </si>
  <si>
    <t xml:space="preserve">Sayfa: 2-Ders-Öğr.Elemanı Eşleştirme</t>
  </si>
  <si>
    <t xml:space="preserve">Seçtiğiniz her ders burada otomatik görünür. “Öğretim Elemanı” sütunundan kadrolu bir hoca seçin ya da (dışarıdan/misafir için) doğrudan adını yazın. Listede yoksa önce “Öğretim Elemanları” sayfasına ekleyin.</t>
  </si>
  <si>
    <t xml:space="preserve">3 — Kesinleşmiş Atama Listesi</t>
  </si>
  <si>
    <t xml:space="preserve">Sayfa: 3-Kesinleşmiş Atama Listesi</t>
  </si>
  <si>
    <t xml:space="preserve">Salt görüntüleme ve kontrol sayfasıdır; hiçbir şey yazmanıza gerek yoktur. Eksik öğretim elemanı ataması varsa burada uyarı olarak görünür.</t>
  </si>
  <si>
    <t xml:space="preserve">4 — Gün / Saat / Derslik Atama</t>
  </si>
  <si>
    <t xml:space="preserve">Sayfa: 4-Gün-Saat-Derslik Atama</t>
  </si>
  <si>
    <t xml:space="preserve">Her ders 3 “oturum” satırıyla gelir. Dersi tek blokta veriyorsanız yalnızca “1. Oturum” satırına gün/saat/süre/derslik girip 2. ve 3. oturumu boş bırakın. Bölerek veriyorsanız (ör. 6 saatlik dersi 3+3 veya 2+2+2 olarak) her oturumu ayrı bir satıra, farklı gün/saat ile girin — oturumların süre toplamı dersin toplam saatine eşit olmalıdır, eşit değilse “Saat Dağılımı” sütunu uyarır. Sayfanın üstündeki Kontrol Paneli eksikleri ve çakışmaları anlık olarak sayar; satır sonundaki uyarı sütunları hangi oturumun sorunlu olduğunu gösterir.</t>
  </si>
  <si>
    <t xml:space="preserve">5 — Haftalık Ders Programı</t>
  </si>
  <si>
    <t xml:space="preserve">Sayfa: 5A-Prog.1.Sınıf / 5B-Prog.2.Sınıf / 5C-Prog.3.Sınıf / 5D-Prog.4.Sınıf</t>
  </si>
  <si>
    <t xml:space="preserve">Hiçbir şey yazmanıza gerek yoktur; ilk dört sayfadan tamamen otomatik oluşur. Her sınıf ayrı bir sayfadadır, A4 yatay baskıya hazırdır ve “Tüm Çalışma Kitabını Yazdır” ile tek PDF’de 4 sayfa olarak alınabilir.</t>
  </si>
  <si>
    <t xml:space="preserve">Renk Anahtarı</t>
  </si>
  <si>
    <t xml:space="preserve">  </t>
  </si>
  <si>
    <t xml:space="preserve">Sarı kenarlıklı hücreler: veri girişi / seçim yapmanız gereken alanlar.</t>
  </si>
  <si>
    <t xml:space="preserve">Beyaz hücreler: otomatik hesaplanan formüllerdir, elle değiştirilmemelidir.</t>
  </si>
  <si>
    <t xml:space="preserve">Kırmızı: bir çakışma veya eksik bulundu, kontrol edin.</t>
  </si>
  <si>
    <t xml:space="preserve">Yeşil: bu satırda herhangi bir sorun yok.</t>
  </si>
  <si>
    <t xml:space="preserve">Not: “1-Ders Havuzu” sayfasında bir dersin seçimini kaldırırsanız, o ders eşleştirme, atama, çakışma kontrolü ve haftalık programdan otomatik olarak kaybolur — başka hiçbir sayfada elle silme işlemi yapmanız gerekmez.</t>
  </si>
  <si>
    <t xml:space="preserve">ÖĞRETİM ELEMANLARI</t>
  </si>
  <si>
    <t xml:space="preserve">Bölüm kadrolu hocalar otomatik, dışarıdan gelenler aşağıdaki boş alana elle eklenir</t>
  </si>
  <si>
    <t xml:space="preserve">Unvan</t>
  </si>
  <si>
    <t xml:space="preserve">Ad Soyad</t>
  </si>
  <si>
    <t xml:space="preserve">Öğretim Elemanı (Dropdown’da Görünen Ad)</t>
  </si>
  <si>
    <t xml:space="preserve">Haftalık Ders Yükü (Saat)</t>
  </si>
  <si>
    <t xml:space="preserve">Prof. Dr.</t>
  </si>
  <si>
    <t xml:space="preserve">Aysu Altaş</t>
  </si>
  <si>
    <t xml:space="preserve">Prof. Dr. Aysu Altaş</t>
  </si>
  <si>
    <t xml:space="preserve">Mehmet Tuncer</t>
  </si>
  <si>
    <t xml:space="preserve">Prof. Dr. Mehmet Tuncer</t>
  </si>
  <si>
    <t xml:space="preserve">Doç. Dr.</t>
  </si>
  <si>
    <t xml:space="preserve">Alaattin Başoda</t>
  </si>
  <si>
    <t xml:space="preserve">Doç. Dr. Alaattin Başoda</t>
  </si>
  <si>
    <t xml:space="preserve">Yusuf Acar</t>
  </si>
  <si>
    <t xml:space="preserve">Doç. Dr. Yusuf Acar</t>
  </si>
  <si>
    <t xml:space="preserve">Neşe Çullu Kaygısız</t>
  </si>
  <si>
    <t xml:space="preserve">Doç. Dr. Neşe Çullu Kaygısız</t>
  </si>
  <si>
    <t xml:space="preserve">Dr. Öğr. Üyesi</t>
  </si>
  <si>
    <t xml:space="preserve">Grant Altay Taşkın</t>
  </si>
  <si>
    <t xml:space="preserve">Dr. Öğr. Üyesi Grant Altay Taşkın</t>
  </si>
  <si>
    <t xml:space="preserve">Çağla Üst Can</t>
  </si>
  <si>
    <t xml:space="preserve">Dr. Öğr. Üyesi Çağla Üst Can</t>
  </si>
  <si>
    <t xml:space="preserve">Burak Murat Demirçivi</t>
  </si>
  <si>
    <t xml:space="preserve">Dr. Öğr. Üyesi Burak Murat Demirçivi</t>
  </si>
  <si>
    <t xml:space="preserve">Mesut Murat Adabalı</t>
  </si>
  <si>
    <t xml:space="preserve">Dr. Öğr. Üyesi Mesut Murat Adabalı</t>
  </si>
  <si>
    <t xml:space="preserve">Serap Serin Karacaer</t>
  </si>
  <si>
    <t xml:space="preserve">Dr. Öğr. Üyesi Serap Serin Karacaer</t>
  </si>
  <si>
    <t xml:space="preserve">Selim Karagöz</t>
  </si>
  <si>
    <t xml:space="preserve">Dr. Öğr. Üyesi Selim Karagöz</t>
  </si>
  <si>
    <t xml:space="preserve">Ergin Altunsabak</t>
  </si>
  <si>
    <t xml:space="preserve">Dr. Öğr. Üyesi Ergin Altunsabak</t>
  </si>
  <si>
    <t xml:space="preserve">Öğr. Gör.</t>
  </si>
  <si>
    <t xml:space="preserve">Vildan Acar</t>
  </si>
  <si>
    <t xml:space="preserve">Öğr. Gör. Vildan Acar</t>
  </si>
  <si>
    <t xml:space="preserve">Vahit Bölükbaş</t>
  </si>
  <si>
    <t xml:space="preserve">Öğr. Gör. Vahit Bölükbaş</t>
  </si>
  <si>
    <t xml:space="preserve">DİĞER / MİSAFİR ÖĞRETİM ELEMANLARI — aşağıdaki satırlara elle ekleyiniz</t>
  </si>
  <si>
    <t xml:space="preserve">1 — DERS HAVUZU VE DÖNEM / SINIF SEÇİMİ</t>
  </si>
  <si>
    <t xml:space="preserve">Yarıyıl</t>
  </si>
  <si>
    <t xml:space="preserve">Sınıf</t>
  </si>
  <si>
    <t xml:space="preserve">Ders Kodu</t>
  </si>
  <si>
    <t xml:space="preserve">Dersin Adı</t>
  </si>
  <si>
    <t xml:space="preserve">Ders
Durumu</t>
  </si>
  <si>
    <t xml:space="preserve">Teorik</t>
  </si>
  <si>
    <t xml:space="preserve">Uygulama</t>
  </si>
  <si>
    <t xml:space="preserve">Toplam
Saat</t>
  </si>
  <si>
    <t xml:space="preserve">AKTS</t>
  </si>
  <si>
    <t xml:space="preserve">Ders Grubu</t>
  </si>
  <si>
    <t xml:space="preserve">Seçim</t>
  </si>
  <si>
    <t xml:space="preserve">AİT 191</t>
  </si>
  <si>
    <t xml:space="preserve">Atatürk İlkeleri ve İnkılap Tarihi I</t>
  </si>
  <si>
    <t xml:space="preserve">Z</t>
  </si>
  <si>
    <t xml:space="preserve">Ana Ders</t>
  </si>
  <si>
    <t xml:space="preserve">Seçilmedi</t>
  </si>
  <si>
    <t xml:space="preserve">BİL 181</t>
  </si>
  <si>
    <t xml:space="preserve">Temel Bilgi Teknolojileri</t>
  </si>
  <si>
    <t xml:space="preserve">İNGTRE 101</t>
  </si>
  <si>
    <t xml:space="preserve">İngilizce I- Dil Bilgisi</t>
  </si>
  <si>
    <t xml:space="preserve">İNGTRE 103</t>
  </si>
  <si>
    <t xml:space="preserve">İngilizce I- Konuşma</t>
  </si>
  <si>
    <t xml:space="preserve">TDİ 195</t>
  </si>
  <si>
    <t xml:space="preserve">Türk Dili I</t>
  </si>
  <si>
    <t xml:space="preserve">TRE 101</t>
  </si>
  <si>
    <t xml:space="preserve">Üniversite Hayatına Geçiş</t>
  </si>
  <si>
    <t xml:space="preserve">TRE 103</t>
  </si>
  <si>
    <t xml:space="preserve">Turizme Giriş</t>
  </si>
  <si>
    <t xml:space="preserve">TRE 105</t>
  </si>
  <si>
    <t xml:space="preserve">Turizmde İletişim</t>
  </si>
  <si>
    <t xml:space="preserve">AİT 192</t>
  </si>
  <si>
    <t xml:space="preserve">Atatürk İlkeleri ve İnkılap Tarihi II</t>
  </si>
  <si>
    <t xml:space="preserve">TDİ 196</t>
  </si>
  <si>
    <t xml:space="preserve">Türk Dili II</t>
  </si>
  <si>
    <t xml:space="preserve">İNGTRE 102</t>
  </si>
  <si>
    <t xml:space="preserve">İngilizce II- Dil Bilgisi</t>
  </si>
  <si>
    <t xml:space="preserve">İNGTRE 104</t>
  </si>
  <si>
    <t xml:space="preserve">İngilizce II- Konuşma</t>
  </si>
  <si>
    <t xml:space="preserve">TRE 102</t>
  </si>
  <si>
    <t xml:space="preserve">Genel İşletme</t>
  </si>
  <si>
    <t xml:space="preserve">TRE 104</t>
  </si>
  <si>
    <t xml:space="preserve">Turizm Mevzuatı ve Turist Hakları</t>
  </si>
  <si>
    <t xml:space="preserve">TRE 106</t>
  </si>
  <si>
    <t xml:space="preserve">Seyahat Acenteciliği ve Tur Operatörlüğü</t>
  </si>
  <si>
    <t xml:space="preserve">TRE 108</t>
  </si>
  <si>
    <t xml:space="preserve">Alternatif Turizm</t>
  </si>
  <si>
    <t xml:space="preserve">S</t>
  </si>
  <si>
    <t xml:space="preserve">Seçmeli Havuz</t>
  </si>
  <si>
    <t xml:space="preserve">TRE 110</t>
  </si>
  <si>
    <t xml:space="preserve">Etkinlik Yönetimi</t>
  </si>
  <si>
    <t xml:space="preserve">İNGTRE 201</t>
  </si>
  <si>
    <t xml:space="preserve">İngilizce III- Dil Bilgisi</t>
  </si>
  <si>
    <t xml:space="preserve">İNGTRE 203</t>
  </si>
  <si>
    <t xml:space="preserve">İngilizce III- Konuşma</t>
  </si>
  <si>
    <t xml:space="preserve">TRE 201</t>
  </si>
  <si>
    <t xml:space="preserve">Turist Rehberliği ve Mesleki Etik</t>
  </si>
  <si>
    <t xml:space="preserve">TRE 203</t>
  </si>
  <si>
    <t xml:space="preserve">Yunan ve Roma Mitolojisi</t>
  </si>
  <si>
    <t xml:space="preserve">TRE 205</t>
  </si>
  <si>
    <t xml:space="preserve">Konaklama İşletmeleri Yönetimi</t>
  </si>
  <si>
    <t xml:space="preserve">ALMTRE 201</t>
  </si>
  <si>
    <t xml:space="preserve">Almanca- I</t>
  </si>
  <si>
    <t xml:space="preserve">Seçmeli A</t>
  </si>
  <si>
    <t xml:space="preserve">RUSTRE 201</t>
  </si>
  <si>
    <t xml:space="preserve">Rusça- I</t>
  </si>
  <si>
    <t xml:space="preserve">ARPTRE 201</t>
  </si>
  <si>
    <t xml:space="preserve">Arapça- I</t>
  </si>
  <si>
    <t xml:space="preserve">TRE 207</t>
  </si>
  <si>
    <t xml:space="preserve">İkram ve Servis Hizmetleri</t>
  </si>
  <si>
    <t xml:space="preserve">Seçmeli B</t>
  </si>
  <si>
    <t xml:space="preserve">TRE 209</t>
  </si>
  <si>
    <t xml:space="preserve">Ulaşım Hizmetleri</t>
  </si>
  <si>
    <t xml:space="preserve">TRE 211</t>
  </si>
  <si>
    <t xml:space="preserve">Müzik</t>
  </si>
  <si>
    <t xml:space="preserve">TRE 213</t>
  </si>
  <si>
    <t xml:space="preserve">Kültürel Miras</t>
  </si>
  <si>
    <t xml:space="preserve">TRE 215</t>
  </si>
  <si>
    <t xml:space="preserve">Turizm ve Yapay Zeka</t>
  </si>
  <si>
    <t xml:space="preserve">İNGTRE 202</t>
  </si>
  <si>
    <t xml:space="preserve">İngilizce IV- Dil Bilgisi</t>
  </si>
  <si>
    <t xml:space="preserve">İNGTRE 204</t>
  </si>
  <si>
    <t xml:space="preserve">İngilizce IV- Konuşma</t>
  </si>
  <si>
    <t xml:space="preserve">TRE 202</t>
  </si>
  <si>
    <t xml:space="preserve">Staj</t>
  </si>
  <si>
    <t xml:space="preserve">TRE 204</t>
  </si>
  <si>
    <t xml:space="preserve">Arkeoloji</t>
  </si>
  <si>
    <t xml:space="preserve">TRE 206</t>
  </si>
  <si>
    <t xml:space="preserve">Türk Mitolojisi</t>
  </si>
  <si>
    <t xml:space="preserve">ALMTRE 202</t>
  </si>
  <si>
    <t xml:space="preserve">Almanca- II</t>
  </si>
  <si>
    <t xml:space="preserve">RUSTRE 202</t>
  </si>
  <si>
    <t xml:space="preserve">Rusça- II</t>
  </si>
  <si>
    <t xml:space="preserve">ARPTRE 202</t>
  </si>
  <si>
    <t xml:space="preserve">Arapça- II</t>
  </si>
  <si>
    <t xml:space="preserve">TRE 208</t>
  </si>
  <si>
    <t xml:space="preserve">Araştırma Yöntemleri</t>
  </si>
  <si>
    <t xml:space="preserve">TRE 210</t>
  </si>
  <si>
    <t xml:space="preserve">Dünya Turizm Destinasyonları</t>
  </si>
  <si>
    <t xml:space="preserve">TRE 212</t>
  </si>
  <si>
    <t xml:space="preserve">Rekreasyon Yönetimi</t>
  </si>
  <si>
    <t xml:space="preserve">TRE 214</t>
  </si>
  <si>
    <t xml:space="preserve">Turizm ve Teknoloji</t>
  </si>
  <si>
    <t xml:space="preserve">TRE 216</t>
  </si>
  <si>
    <t xml:space="preserve">Turizm Rehberliğinde Uzmanlaşma</t>
  </si>
  <si>
    <t xml:space="preserve">TRE 301</t>
  </si>
  <si>
    <t xml:space="preserve">Mesleki İngilizce- I</t>
  </si>
  <si>
    <t xml:space="preserve">TRE 303</t>
  </si>
  <si>
    <t xml:space="preserve">Müzecilik</t>
  </si>
  <si>
    <t xml:space="preserve">TRE 305</t>
  </si>
  <si>
    <t xml:space="preserve">Sanat Tarihi- I</t>
  </si>
  <si>
    <t xml:space="preserve">TRE 307</t>
  </si>
  <si>
    <t xml:space="preserve">Turizm Coğrafyası</t>
  </si>
  <si>
    <t xml:space="preserve">TRE 313</t>
  </si>
  <si>
    <t xml:space="preserve">İkonografi</t>
  </si>
  <si>
    <t xml:space="preserve">ALMTRE 301</t>
  </si>
  <si>
    <t xml:space="preserve">Almanca- III</t>
  </si>
  <si>
    <t xml:space="preserve">RUSTRE 301</t>
  </si>
  <si>
    <t xml:space="preserve">Rusça- III</t>
  </si>
  <si>
    <t xml:space="preserve">ARPTRE 301</t>
  </si>
  <si>
    <t xml:space="preserve">Arapça- III</t>
  </si>
  <si>
    <t xml:space="preserve">TRE 309</t>
  </si>
  <si>
    <t xml:space="preserve">Fotoğrafçılık</t>
  </si>
  <si>
    <t xml:space="preserve">TRE 311</t>
  </si>
  <si>
    <t xml:space="preserve">Temel Sağlık ve İlk Yardım Bilgisi</t>
  </si>
  <si>
    <t xml:space="preserve">ÜSD I</t>
  </si>
  <si>
    <t xml:space="preserve">Bölüm Dışı Ders</t>
  </si>
  <si>
    <t xml:space="preserve">ÜSD</t>
  </si>
  <si>
    <t xml:space="preserve">PF 301</t>
  </si>
  <si>
    <t xml:space="preserve">Eğitime Giriş</t>
  </si>
  <si>
    <t xml:space="preserve">Formasyon</t>
  </si>
  <si>
    <t xml:space="preserve">PF 303</t>
  </si>
  <si>
    <t xml:space="preserve">Eğitim Psikolojisi</t>
  </si>
  <si>
    <t xml:space="preserve">PF 305</t>
  </si>
  <si>
    <t xml:space="preserve">Öğretim İlke ve Yöntemleri</t>
  </si>
  <si>
    <t xml:space="preserve">TRE 302</t>
  </si>
  <si>
    <t xml:space="preserve">Mesleki İngilizce- II</t>
  </si>
  <si>
    <t xml:space="preserve">TRE 304</t>
  </si>
  <si>
    <t xml:space="preserve">Sanat Tarihi- II</t>
  </si>
  <si>
    <t xml:space="preserve">TRE 306</t>
  </si>
  <si>
    <t xml:space="preserve">Turizm Pazarlaması</t>
  </si>
  <si>
    <t xml:space="preserve">TRE 308</t>
  </si>
  <si>
    <t xml:space="preserve">Antik Yerleşimler</t>
  </si>
  <si>
    <t xml:space="preserve">TRE 312</t>
  </si>
  <si>
    <t xml:space="preserve">Turizm Sosyolojisi</t>
  </si>
  <si>
    <t xml:space="preserve">ALMTRE 302</t>
  </si>
  <si>
    <t xml:space="preserve">Almanca- IV</t>
  </si>
  <si>
    <t xml:space="preserve">RUSTRE 302</t>
  </si>
  <si>
    <t xml:space="preserve">Rusça- IV</t>
  </si>
  <si>
    <t xml:space="preserve">ARPTRE 302</t>
  </si>
  <si>
    <t xml:space="preserve">Arapça- IV</t>
  </si>
  <si>
    <t xml:space="preserve">TRE 310</t>
  </si>
  <si>
    <t xml:space="preserve">Kültürlerarası İletişim</t>
  </si>
  <si>
    <t xml:space="preserve">TRE 314</t>
  </si>
  <si>
    <t xml:space="preserve">İnsan Kaynakları Yönetimi</t>
  </si>
  <si>
    <t xml:space="preserve">ÜSD II</t>
  </si>
  <si>
    <t xml:space="preserve">PF 302</t>
  </si>
  <si>
    <t xml:space="preserve">Rehberlik ve Özel Eğitim</t>
  </si>
  <si>
    <t xml:space="preserve">PF 304</t>
  </si>
  <si>
    <t xml:space="preserve">Özel Öğretim Yöntemleri</t>
  </si>
  <si>
    <t xml:space="preserve">PF 306</t>
  </si>
  <si>
    <t xml:space="preserve">Sınıf Yönetimi</t>
  </si>
  <si>
    <t xml:space="preserve">TRE 401</t>
  </si>
  <si>
    <t xml:space="preserve">Mesleki İngilizce- III</t>
  </si>
  <si>
    <t xml:space="preserve">TRE 403</t>
  </si>
  <si>
    <t xml:space="preserve">Anadolu Halk Kültürü</t>
  </si>
  <si>
    <t xml:space="preserve">TRE 405</t>
  </si>
  <si>
    <t xml:space="preserve">Tur Planlaması ve Yönetimi</t>
  </si>
  <si>
    <t xml:space="preserve">ALMTRE 401</t>
  </si>
  <si>
    <t xml:space="preserve">Mesleki Almanca- I</t>
  </si>
  <si>
    <t xml:space="preserve">RUSTRE 401</t>
  </si>
  <si>
    <t xml:space="preserve">Mesleki Rusça- I</t>
  </si>
  <si>
    <t xml:space="preserve">ARPTRE 401</t>
  </si>
  <si>
    <t xml:space="preserve">Mesleki Arapça- I</t>
  </si>
  <si>
    <t xml:space="preserve">TRE 407</t>
  </si>
  <si>
    <t xml:space="preserve">Protokol ve Sosyal Davranış Kuralları</t>
  </si>
  <si>
    <t xml:space="preserve">TRE 409</t>
  </si>
  <si>
    <t xml:space="preserve">Turizmde Güncel Konular</t>
  </si>
  <si>
    <t xml:space="preserve">TRE 411</t>
  </si>
  <si>
    <t xml:space="preserve">Halkla İlişkiler</t>
  </si>
  <si>
    <t xml:space="preserve">TRE 413</t>
  </si>
  <si>
    <t xml:space="preserve">Aksaray’ın Yerel Değerleri</t>
  </si>
  <si>
    <t xml:space="preserve">TRE 415</t>
  </si>
  <si>
    <t xml:space="preserve">İşaret Dili</t>
  </si>
  <si>
    <t xml:space="preserve">TRE 417</t>
  </si>
  <si>
    <t xml:space="preserve">Türk Mutfak Kültürü</t>
  </si>
  <si>
    <t xml:space="preserve">TRE 419</t>
  </si>
  <si>
    <t xml:space="preserve">İnsan Hakları</t>
  </si>
  <si>
    <t xml:space="preserve">TRE 421</t>
  </si>
  <si>
    <t xml:space="preserve">Sanat ve Tasarım</t>
  </si>
  <si>
    <t xml:space="preserve">TRE 901</t>
  </si>
  <si>
    <t xml:space="preserve">Eşdeğer/Staj</t>
  </si>
  <si>
    <t xml:space="preserve">OEDTRE I</t>
  </si>
  <si>
    <t xml:space="preserve">Ortak Eğitim Programı Dersi I</t>
  </si>
  <si>
    <t xml:space="preserve">Ortak Eğitim</t>
  </si>
  <si>
    <t xml:space="preserve">PF 401</t>
  </si>
  <si>
    <t xml:space="preserve">Eğitimde Ölçme ve Değerlendirme</t>
  </si>
  <si>
    <t xml:space="preserve">PF 403</t>
  </si>
  <si>
    <t xml:space="preserve">Öğretim Teknolojileri</t>
  </si>
  <si>
    <t xml:space="preserve">TRE 402</t>
  </si>
  <si>
    <t xml:space="preserve">Mesleki İngilizce- IV</t>
  </si>
  <si>
    <t xml:space="preserve">TRE 406</t>
  </si>
  <si>
    <t xml:space="preserve">Dinler Tarihi</t>
  </si>
  <si>
    <t xml:space="preserve">TRE 408</t>
  </si>
  <si>
    <t xml:space="preserve">Anadolu Uygarlıkları</t>
  </si>
  <si>
    <t xml:space="preserve">ALMTRE 402</t>
  </si>
  <si>
    <t xml:space="preserve">Mesleki Almanca- II</t>
  </si>
  <si>
    <t xml:space="preserve">RUSTRE 402</t>
  </si>
  <si>
    <t xml:space="preserve">Mesleki Rusça- II</t>
  </si>
  <si>
    <t xml:space="preserve">ARPTRE 402</t>
  </si>
  <si>
    <t xml:space="preserve">Mesleki Arapça- II</t>
  </si>
  <si>
    <t xml:space="preserve">TRE 410</t>
  </si>
  <si>
    <t xml:space="preserve">Turizmde Tüketici Davranışları</t>
  </si>
  <si>
    <t xml:space="preserve">TRE 412</t>
  </si>
  <si>
    <t xml:space="preserve">Turizm ve Çevre</t>
  </si>
  <si>
    <t xml:space="preserve">TRE 414</t>
  </si>
  <si>
    <t xml:space="preserve">İş ve Sosyal Güvenlik Hukuku</t>
  </si>
  <si>
    <t xml:space="preserve">TRE 416</t>
  </si>
  <si>
    <t xml:space="preserve">Türkiye Flora ve Faunası</t>
  </si>
  <si>
    <t xml:space="preserve">TRE 418</t>
  </si>
  <si>
    <t xml:space="preserve">Uluslararası Mutfaklar</t>
  </si>
  <si>
    <t xml:space="preserve">TRE 420</t>
  </si>
  <si>
    <t xml:space="preserve">Girişimcilik</t>
  </si>
  <si>
    <t xml:space="preserve">TRE 424</t>
  </si>
  <si>
    <t xml:space="preserve">Geleneksel Sanatlar</t>
  </si>
  <si>
    <t xml:space="preserve">TRE 422</t>
  </si>
  <si>
    <t xml:space="preserve">Gönüllülük Çalışmaları</t>
  </si>
  <si>
    <t xml:space="preserve">Seçmeli C</t>
  </si>
  <si>
    <t xml:space="preserve">OEDTRE II</t>
  </si>
  <si>
    <t xml:space="preserve">Ortak Eğitim Programı Dersi II</t>
  </si>
  <si>
    <t xml:space="preserve">PF 404</t>
  </si>
  <si>
    <t xml:space="preserve">Öğretmenlik Uygulaması</t>
  </si>
  <si>
    <t xml:space="preserve">2 — DERS / ÖĞRETİM ELEMANI EŞLEŞTİRMESİ</t>
  </si>
  <si>
    <t xml:space="preserve">Durum</t>
  </si>
  <si>
    <t xml:space="preserve">Öğretim Elemanı</t>
  </si>
  <si>
    <t xml:space="preserve">3 — KESİNLEŞMİŞ DERS ATAMA LİSTESİ</t>
  </si>
  <si>
    <t xml:space="preserve">Kontrol</t>
  </si>
  <si>
    <t xml:space="preserve">4 — GÜN / SAAT / DERSLİK ATAMA EKRANI</t>
  </si>
  <si>
    <t xml:space="preserve">Bir dersi tek oturumda mı yoksa birden fazla güne/saate bölerek mi vereceğinizi belirleyin: 6 saatlik bir dersi tek satırda (1. Oturum = 6 saat) ya da 2–3 satıra bölerek (ör. 3+3 veya 2+2+2) girebilirsiniz. Bölmüyorsanız yalnızca “1. Oturum” satırını doldurup 2. ve 3. oturum satırlarını boş bırakın.</t>
  </si>
  <si>
    <t xml:space="preserve">KONTROL PANELİ</t>
  </si>
  <si>
    <t xml:space="preserve">Atanmamış Öğretim Elemanı:</t>
  </si>
  <si>
    <t xml:space="preserve">Atanmamış Derslik:</t>
  </si>
  <si>
    <t xml:space="preserve">Saat Çakışması:</t>
  </si>
  <si>
    <t xml:space="preserve">Yerleştirilmeyen Ders:</t>
  </si>
  <si>
    <t xml:space="preserve">Saat Dağılımı Sorunu:</t>
  </si>
  <si>
    <t xml:space="preserve">Oturum</t>
  </si>
  <si>
    <t xml:space="preserve">Gün</t>
  </si>
  <si>
    <t xml:space="preserve">Başlangıç
Saati</t>
  </si>
  <si>
    <t xml:space="preserve">Süre
(Saat)</t>
  </si>
  <si>
    <t xml:space="preserve">Derslik</t>
  </si>
  <si>
    <t xml:space="preserve">Başl.
Slot</t>
  </si>
  <si>
    <t xml:space="preserve">Bitiş
Slot</t>
  </si>
  <si>
    <t xml:space="preserve">Saat
Taşması</t>
  </si>
  <si>
    <t xml:space="preserve">Öğr.Elemanı
Çakışması</t>
  </si>
  <si>
    <t xml:space="preserve">Derslik
Çakışması</t>
  </si>
  <si>
    <t xml:space="preserve">Sınıf
Çakışması</t>
  </si>
  <si>
    <t xml:space="preserve">Saat Dağılımı
(Oturumlar Toplamı)</t>
  </si>
  <si>
    <t xml:space="preserve">Genel
Durum</t>
  </si>
  <si>
    <t xml:space="preserve">Sınıf 1 — Eşleşme Sayısı</t>
  </si>
  <si>
    <t xml:space="preserve">08.00–08.50</t>
  </si>
  <si>
    <t xml:space="preserve">09.00–09.50</t>
  </si>
  <si>
    <t xml:space="preserve">10.00–10.50</t>
  </si>
  <si>
    <t xml:space="preserve">11.00–11.50</t>
  </si>
  <si>
    <t xml:space="preserve">12.00–12.50</t>
  </si>
  <si>
    <t xml:space="preserve">13.00–13.50</t>
  </si>
  <si>
    <t xml:space="preserve">14.00–14.50</t>
  </si>
  <si>
    <t xml:space="preserve">15.00–15.50</t>
  </si>
  <si>
    <t xml:space="preserve">16.00–16.50</t>
  </si>
  <si>
    <t xml:space="preserve">17.00–17.50</t>
  </si>
  <si>
    <t xml:space="preserve">Sınıf 1 — Satır No</t>
  </si>
  <si>
    <t xml:space="preserve">Sınıf 2 — Eşleşme Sayısı</t>
  </si>
  <si>
    <t xml:space="preserve">Sınıf 2 — Satır No</t>
  </si>
  <si>
    <t xml:space="preserve">Sınıf 3 — Eşleşme Sayısı</t>
  </si>
  <si>
    <t xml:space="preserve">Sınıf 3 — Satır No</t>
  </si>
  <si>
    <t xml:space="preserve">Sınıf 4 — Eşleşme Sayısı</t>
  </si>
  <si>
    <t xml:space="preserve">Sınıf 4 — Satır No</t>
  </si>
  <si>
    <t xml:space="preserve">T.C.</t>
  </si>
  <si>
    <t xml:space="preserve">AKSARAY ÜNİVERSİTESİ</t>
  </si>
  <si>
    <t xml:space="preserve">TURİZM FAKÜLTESİ</t>
  </si>
  <si>
    <t xml:space="preserve">TURİZM REHBERLİĞİ BÖLÜMÜ</t>
  </si>
  <si>
    <t xml:space="preserve">2026-2027 EĞİTİM-ÖĞRETİM YILI GÜZ YARIYILI</t>
  </si>
  <si>
    <t xml:space="preserve">HAFTALIK DERS PROGRAMI</t>
  </si>
  <si>
    <t xml:space="preserve">1. SINIF</t>
  </si>
  <si>
    <t xml:space="preserve">SAAT</t>
  </si>
  <si>
    <t xml:space="preserve">PAZARTESİ</t>
  </si>
  <si>
    <t xml:space="preserve">SALI</t>
  </si>
  <si>
    <t xml:space="preserve">ÇARŞAMBA</t>
  </si>
  <si>
    <t xml:space="preserve">PERŞEMBE</t>
  </si>
  <si>
    <t xml:space="preserve">CUMA</t>
  </si>
  <si>
    <t xml:space="preserve">Bu program 1–4 numaralı sayfalardan otomatik oluşturulmuştur.</t>
  </si>
  <si>
    <t xml:space="preserve">Bölüm Başkanı</t>
  </si>
  <si>
    <t xml:space="preserve">2. SINIF</t>
  </si>
  <si>
    <t xml:space="preserve">3. SINIF</t>
  </si>
  <si>
    <t xml:space="preserve">4. SINIF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</si>
</sst>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&quot;. Oturum&quot;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3"/>
      <color rgb="FF1F4E78"/>
      <name val="Calibri"/>
      <family val="0"/>
      <charset val="1"/>
    </font>
    <font>
      <sz val="10.5"/>
      <color rgb="FF1A1A1A"/>
      <name val="Calibri"/>
      <family val="0"/>
      <charset val="1"/>
    </font>
    <font>
      <b val="true"/>
      <sz val="11"/>
      <color rgb="FF1F4E78"/>
      <name val="Calibri"/>
      <family val="0"/>
      <charset val="1"/>
    </font>
    <font>
      <i val="true"/>
      <sz val="9"/>
      <color rgb="FF595959"/>
      <name val="Calibri"/>
      <family val="0"/>
      <charset val="1"/>
    </font>
    <font>
      <sz val="10"/>
      <color rgb="FF1A1A1A"/>
      <name val="Calibri"/>
      <family val="0"/>
      <charset val="1"/>
    </font>
    <font>
      <i val="true"/>
      <sz val="9.5"/>
      <color rgb="FF595959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1A1A1A"/>
      <name val="Calibri"/>
      <family val="0"/>
      <charset val="1"/>
    </font>
    <font>
      <b val="true"/>
      <sz val="15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1A1A1A"/>
      <name val="Calibri"/>
      <family val="0"/>
      <charset val="1"/>
    </font>
    <font>
      <sz val="9"/>
      <color rgb="FF1A1A1A"/>
      <name val="Calibri"/>
      <family val="0"/>
      <charset val="1"/>
    </font>
    <font>
      <b val="true"/>
      <sz val="9"/>
      <color rgb="FF1A1A1A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sz val="9.5"/>
      <color rgb="FF1A1A1A"/>
      <name val="Calibri"/>
      <family val="0"/>
      <charset val="1"/>
    </font>
    <font>
      <i val="true"/>
      <sz val="8.5"/>
      <color rgb="FF595959"/>
      <name val="Calibri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F4E78"/>
        <bgColor rgb="FF16324F"/>
      </patternFill>
    </fill>
    <fill>
      <patternFill patternType="solid">
        <fgColor rgb="FF16324F"/>
        <bgColor rgb="FF1A1A1A"/>
      </patternFill>
    </fill>
    <fill>
      <patternFill patternType="solid">
        <fgColor rgb="FFFFF2CC"/>
        <bgColor rgb="FFEEF3FA"/>
      </patternFill>
    </fill>
    <fill>
      <patternFill patternType="solid">
        <fgColor rgb="FFFFFFFF"/>
        <bgColor rgb="FFEEF3FA"/>
      </patternFill>
    </fill>
    <fill>
      <patternFill patternType="solid">
        <fgColor rgb="FFFFC7CE"/>
        <bgColor rgb="FFCCCCFF"/>
      </patternFill>
    </fill>
    <fill>
      <patternFill patternType="solid">
        <fgColor rgb="FFC6EFCE"/>
        <bgColor rgb="FFDCE6F1"/>
      </patternFill>
    </fill>
    <fill>
      <patternFill patternType="solid">
        <fgColor rgb="FFEEF3FA"/>
        <bgColor rgb="FFFFFFFF"/>
      </patternFill>
    </fill>
    <fill>
      <patternFill patternType="solid">
        <fgColor rgb="FFDCE6F1"/>
        <bgColor rgb="FFEEF3F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7C4D6"/>
      </left>
      <right style="thin">
        <color rgb="FFB7C4D6"/>
      </right>
      <top style="thin">
        <color rgb="FFB7C4D6"/>
      </top>
      <bottom style="thin">
        <color rgb="FFB7C4D6"/>
      </bottom>
      <diagonal/>
    </border>
    <border diagonalUp="false" diagonalDown="false">
      <left style="thin">
        <color rgb="FFBF9000"/>
      </left>
      <right style="thin">
        <color rgb="FFBF9000"/>
      </right>
      <top style="thin">
        <color rgb="FFBF9000"/>
      </top>
      <bottom style="thin">
        <color rgb="FFBF90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F4E78"/>
          <bgColor rgb="FF000000"/>
        </patternFill>
      </fill>
    </dxf>
    <dxf>
      <fill>
        <patternFill patternType="solid">
          <fgColor rgb="FFEEF3FA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A1A1A"/>
          <bgColor rgb="FF000000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7C4D6"/>
      <rgbColor rgb="FF808080"/>
      <rgbColor rgb="FF9999FF"/>
      <rgbColor rgb="FF993366"/>
      <rgbColor rgb="FFFFF2CC"/>
      <rgbColor rgb="FFEEF3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BF9000"/>
      <rgbColor rgb="FFFF6600"/>
      <rgbColor rgb="FF595959"/>
      <rgbColor rgb="FF969696"/>
      <rgbColor rgb="FF16324F"/>
      <rgbColor rgb="FF339966"/>
      <rgbColor rgb="FF003300"/>
      <rgbColor rgb="FF333300"/>
      <rgbColor rgb="FF993300"/>
      <rgbColor rgb="FF993366"/>
      <rgbColor rgb="FF1F4E78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8"/>
    <pageSetUpPr fitToPage="true"/>
  </sheetPr>
  <dimension ref="A1:C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78"/>
  </cols>
  <sheetData>
    <row r="1" customFormat="false" ht="33.75" hidden="false" customHeight="true" outlineLevel="0" collapsed="false">
      <c r="A1" s="1" t="s">
        <v>0</v>
      </c>
      <c r="B1" s="1"/>
      <c r="C1" s="1"/>
    </row>
    <row r="2" customFormat="false" ht="21.75" hidden="false" customHeight="true" outlineLevel="0" collapsed="false">
      <c r="A2" s="2" t="s">
        <v>1</v>
      </c>
      <c r="B2" s="2"/>
      <c r="C2" s="2"/>
    </row>
    <row r="4" customFormat="false" ht="16.15" hidden="false" customHeight="false" outlineLevel="0" collapsed="false">
      <c r="B4" s="3" t="s">
        <v>2</v>
      </c>
      <c r="C4" s="3"/>
    </row>
    <row r="5" customFormat="false" ht="61.5" hidden="false" customHeight="true" outlineLevel="0" collapsed="false">
      <c r="B5" s="4" t="s">
        <v>3</v>
      </c>
      <c r="C5" s="4"/>
    </row>
    <row r="7" customFormat="false" ht="15" hidden="false" customHeight="false" outlineLevel="0" collapsed="false">
      <c r="B7" s="5" t="s">
        <v>4</v>
      </c>
      <c r="C7" s="5"/>
    </row>
    <row r="8" customFormat="false" ht="15" hidden="false" customHeight="false" outlineLevel="0" collapsed="false">
      <c r="B8" s="6" t="s">
        <v>5</v>
      </c>
      <c r="C8" s="6"/>
    </row>
    <row r="9" customFormat="false" ht="48" hidden="false" customHeight="true" outlineLevel="0" collapsed="false">
      <c r="B9" s="7" t="s">
        <v>6</v>
      </c>
      <c r="C9" s="7"/>
    </row>
    <row r="11" customFormat="false" ht="15" hidden="false" customHeight="false" outlineLevel="0" collapsed="false">
      <c r="B11" s="5" t="s">
        <v>7</v>
      </c>
      <c r="C11" s="5"/>
    </row>
    <row r="12" customFormat="false" ht="15" hidden="false" customHeight="false" outlineLevel="0" collapsed="false">
      <c r="B12" s="6" t="s">
        <v>8</v>
      </c>
      <c r="C12" s="6"/>
    </row>
    <row r="13" customFormat="false" ht="48" hidden="false" customHeight="true" outlineLevel="0" collapsed="false">
      <c r="B13" s="7" t="s">
        <v>9</v>
      </c>
      <c r="C13" s="7"/>
    </row>
    <row r="15" customFormat="false" ht="15" hidden="false" customHeight="false" outlineLevel="0" collapsed="false">
      <c r="B15" s="5" t="s">
        <v>10</v>
      </c>
      <c r="C15" s="5"/>
    </row>
    <row r="16" customFormat="false" ht="15" hidden="false" customHeight="false" outlineLevel="0" collapsed="false">
      <c r="B16" s="6" t="s">
        <v>11</v>
      </c>
      <c r="C16" s="6"/>
    </row>
    <row r="17" customFormat="false" ht="48" hidden="false" customHeight="true" outlineLevel="0" collapsed="false">
      <c r="B17" s="7" t="s">
        <v>12</v>
      </c>
      <c r="C17" s="7"/>
    </row>
    <row r="19" customFormat="false" ht="15" hidden="false" customHeight="false" outlineLevel="0" collapsed="false">
      <c r="B19" s="5" t="s">
        <v>13</v>
      </c>
      <c r="C19" s="5"/>
    </row>
    <row r="20" customFormat="false" ht="15" hidden="false" customHeight="false" outlineLevel="0" collapsed="false">
      <c r="B20" s="6" t="s">
        <v>14</v>
      </c>
      <c r="C20" s="6"/>
    </row>
    <row r="21" customFormat="false" ht="48" hidden="false" customHeight="true" outlineLevel="0" collapsed="false">
      <c r="B21" s="7" t="s">
        <v>15</v>
      </c>
      <c r="C21" s="7"/>
    </row>
    <row r="23" customFormat="false" ht="15" hidden="false" customHeight="false" outlineLevel="0" collapsed="false">
      <c r="B23" s="5" t="s">
        <v>16</v>
      </c>
      <c r="C23" s="5"/>
    </row>
    <row r="24" customFormat="false" ht="15" hidden="false" customHeight="false" outlineLevel="0" collapsed="false">
      <c r="B24" s="6" t="s">
        <v>17</v>
      </c>
      <c r="C24" s="6"/>
    </row>
    <row r="25" customFormat="false" ht="48" hidden="false" customHeight="true" outlineLevel="0" collapsed="false">
      <c r="B25" s="7" t="s">
        <v>18</v>
      </c>
      <c r="C25" s="7"/>
    </row>
    <row r="27" customFormat="false" ht="16.15" hidden="false" customHeight="false" outlineLevel="0" collapsed="false">
      <c r="B27" s="3" t="s">
        <v>19</v>
      </c>
      <c r="C27" s="3"/>
    </row>
    <row r="28" customFormat="false" ht="19.5" hidden="false" customHeight="true" outlineLevel="0" collapsed="false">
      <c r="B28" s="8" t="s">
        <v>20</v>
      </c>
      <c r="C28" s="9" t="s">
        <v>21</v>
      </c>
    </row>
    <row r="29" customFormat="false" ht="19.5" hidden="false" customHeight="true" outlineLevel="0" collapsed="false">
      <c r="B29" s="10" t="s">
        <v>20</v>
      </c>
      <c r="C29" s="9" t="s">
        <v>22</v>
      </c>
    </row>
    <row r="30" customFormat="false" ht="19.5" hidden="false" customHeight="true" outlineLevel="0" collapsed="false">
      <c r="B30" s="11" t="s">
        <v>20</v>
      </c>
      <c r="C30" s="9" t="s">
        <v>23</v>
      </c>
    </row>
    <row r="31" customFormat="false" ht="19.5" hidden="false" customHeight="true" outlineLevel="0" collapsed="false">
      <c r="B31" s="12" t="s">
        <v>20</v>
      </c>
      <c r="C31" s="9" t="s">
        <v>24</v>
      </c>
    </row>
    <row r="33" customFormat="false" ht="39.75" hidden="false" customHeight="true" outlineLevel="0" collapsed="false">
      <c r="B33" s="13" t="s">
        <v>25</v>
      </c>
      <c r="C33" s="13"/>
    </row>
  </sheetData>
  <mergeCells count="21">
    <mergeCell ref="A1:C1"/>
    <mergeCell ref="A2:C2"/>
    <mergeCell ref="B4:C4"/>
    <mergeCell ref="B5:C5"/>
    <mergeCell ref="B7:C7"/>
    <mergeCell ref="B8:C8"/>
    <mergeCell ref="B9:C9"/>
    <mergeCell ref="B11:C11"/>
    <mergeCell ref="B12:C12"/>
    <mergeCell ref="B13:C13"/>
    <mergeCell ref="B15:C15"/>
    <mergeCell ref="B16:C16"/>
    <mergeCell ref="B17:C17"/>
    <mergeCell ref="B19:C19"/>
    <mergeCell ref="B20:C20"/>
    <mergeCell ref="B21:C21"/>
    <mergeCell ref="B23:C23"/>
    <mergeCell ref="B24:C24"/>
    <mergeCell ref="B25:C25"/>
    <mergeCell ref="B27:C27"/>
    <mergeCell ref="B33:C33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8"/>
    <pageSetUpPr fitToPage="true"/>
  </sheetPr>
  <dimension ref="A1:D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26"/>
    <col collapsed="false" customWidth="true" hidden="false" outlineLevel="0" max="3" min="3" style="0" width="32"/>
    <col collapsed="false" customWidth="true" hidden="false" outlineLevel="0" max="4" min="4" style="0" width="20"/>
  </cols>
  <sheetData>
    <row r="1" customFormat="false" ht="30" hidden="false" customHeight="true" outlineLevel="0" collapsed="false">
      <c r="A1" s="14" t="s">
        <v>26</v>
      </c>
      <c r="B1" s="14"/>
      <c r="C1" s="14"/>
      <c r="D1" s="14"/>
    </row>
    <row r="2" customFormat="false" ht="19.5" hidden="false" customHeight="true" outlineLevel="0" collapsed="false">
      <c r="A2" s="15" t="s">
        <v>27</v>
      </c>
      <c r="B2" s="15"/>
      <c r="C2" s="15"/>
      <c r="D2" s="15"/>
    </row>
    <row r="3" customFormat="false" ht="31.5" hidden="false" customHeight="true" outlineLevel="0" collapsed="false">
      <c r="A3" s="16" t="s">
        <v>28</v>
      </c>
      <c r="B3" s="16" t="s">
        <v>29</v>
      </c>
      <c r="C3" s="16" t="s">
        <v>30</v>
      </c>
      <c r="D3" s="16" t="s">
        <v>31</v>
      </c>
    </row>
    <row r="4" customFormat="false" ht="15" hidden="false" customHeight="false" outlineLevel="0" collapsed="false">
      <c r="A4" s="17" t="s">
        <v>32</v>
      </c>
      <c r="B4" s="17" t="s">
        <v>33</v>
      </c>
      <c r="C4" s="18" t="s">
        <v>34</v>
      </c>
      <c r="D4" s="17" t="n">
        <f aca="false">IF($C4="","",SUMIFS('4-Gün-Saat-Derslik Atama'!$K$7:$K$456,'4-Gün-Saat-Derslik Atama'!$G$7:$G$456,$C4,'4-Gün-Saat-Derslik Atama'!$A$7:$A$456,"Seçildi"))</f>
        <v>0</v>
      </c>
    </row>
    <row r="5" customFormat="false" ht="15" hidden="false" customHeight="false" outlineLevel="0" collapsed="false">
      <c r="A5" s="19" t="s">
        <v>32</v>
      </c>
      <c r="B5" s="19" t="s">
        <v>35</v>
      </c>
      <c r="C5" s="20" t="s">
        <v>36</v>
      </c>
      <c r="D5" s="19" t="n">
        <f aca="false">IF($C5="","",SUMIFS('4-Gün-Saat-Derslik Atama'!$K$7:$K$456,'4-Gün-Saat-Derslik Atama'!$G$7:$G$456,$C5,'4-Gün-Saat-Derslik Atama'!$A$7:$A$456,"Seçildi"))</f>
        <v>0</v>
      </c>
    </row>
    <row r="6" customFormat="false" ht="15" hidden="false" customHeight="false" outlineLevel="0" collapsed="false">
      <c r="A6" s="17" t="s">
        <v>37</v>
      </c>
      <c r="B6" s="17" t="s">
        <v>38</v>
      </c>
      <c r="C6" s="18" t="s">
        <v>39</v>
      </c>
      <c r="D6" s="17" t="n">
        <f aca="false">IF($C6="","",SUMIFS('4-Gün-Saat-Derslik Atama'!$K$7:$K$456,'4-Gün-Saat-Derslik Atama'!$G$7:$G$456,$C6,'4-Gün-Saat-Derslik Atama'!$A$7:$A$456,"Seçildi"))</f>
        <v>0</v>
      </c>
    </row>
    <row r="7" customFormat="false" ht="15" hidden="false" customHeight="false" outlineLevel="0" collapsed="false">
      <c r="A7" s="19" t="s">
        <v>37</v>
      </c>
      <c r="B7" s="19" t="s">
        <v>40</v>
      </c>
      <c r="C7" s="20" t="s">
        <v>41</v>
      </c>
      <c r="D7" s="19" t="n">
        <f aca="false">IF($C7="","",SUMIFS('4-Gün-Saat-Derslik Atama'!$K$7:$K$456,'4-Gün-Saat-Derslik Atama'!$G$7:$G$456,$C7,'4-Gün-Saat-Derslik Atama'!$A$7:$A$456,"Seçildi"))</f>
        <v>0</v>
      </c>
    </row>
    <row r="8" customFormat="false" ht="15" hidden="false" customHeight="false" outlineLevel="0" collapsed="false">
      <c r="A8" s="17" t="s">
        <v>37</v>
      </c>
      <c r="B8" s="17" t="s">
        <v>42</v>
      </c>
      <c r="C8" s="18" t="s">
        <v>43</v>
      </c>
      <c r="D8" s="17" t="n">
        <f aca="false">IF($C8="","",SUMIFS('4-Gün-Saat-Derslik Atama'!$K$7:$K$456,'4-Gün-Saat-Derslik Atama'!$G$7:$G$456,$C8,'4-Gün-Saat-Derslik Atama'!$A$7:$A$456,"Seçildi"))</f>
        <v>0</v>
      </c>
    </row>
    <row r="9" customFormat="false" ht="15" hidden="false" customHeight="false" outlineLevel="0" collapsed="false">
      <c r="A9" s="19" t="s">
        <v>44</v>
      </c>
      <c r="B9" s="19" t="s">
        <v>45</v>
      </c>
      <c r="C9" s="20" t="s">
        <v>46</v>
      </c>
      <c r="D9" s="19" t="n">
        <f aca="false">IF($C9="","",SUMIFS('4-Gün-Saat-Derslik Atama'!$K$7:$K$456,'4-Gün-Saat-Derslik Atama'!$G$7:$G$456,$C9,'4-Gün-Saat-Derslik Atama'!$A$7:$A$456,"Seçildi"))</f>
        <v>0</v>
      </c>
    </row>
    <row r="10" customFormat="false" ht="15" hidden="false" customHeight="false" outlineLevel="0" collapsed="false">
      <c r="A10" s="17" t="s">
        <v>44</v>
      </c>
      <c r="B10" s="17" t="s">
        <v>47</v>
      </c>
      <c r="C10" s="18" t="s">
        <v>48</v>
      </c>
      <c r="D10" s="17" t="n">
        <f aca="false">IF($C10="","",SUMIFS('4-Gün-Saat-Derslik Atama'!$K$7:$K$456,'4-Gün-Saat-Derslik Atama'!$G$7:$G$456,$C10,'4-Gün-Saat-Derslik Atama'!$A$7:$A$456,"Seçildi"))</f>
        <v>0</v>
      </c>
    </row>
    <row r="11" customFormat="false" ht="15" hidden="false" customHeight="false" outlineLevel="0" collapsed="false">
      <c r="A11" s="19" t="s">
        <v>44</v>
      </c>
      <c r="B11" s="19" t="s">
        <v>49</v>
      </c>
      <c r="C11" s="20" t="s">
        <v>50</v>
      </c>
      <c r="D11" s="19" t="n">
        <f aca="false">IF($C11="","",SUMIFS('4-Gün-Saat-Derslik Atama'!$K$7:$K$456,'4-Gün-Saat-Derslik Atama'!$G$7:$G$456,$C11,'4-Gün-Saat-Derslik Atama'!$A$7:$A$456,"Seçildi"))</f>
        <v>0</v>
      </c>
    </row>
    <row r="12" customFormat="false" ht="15" hidden="false" customHeight="false" outlineLevel="0" collapsed="false">
      <c r="A12" s="17" t="s">
        <v>44</v>
      </c>
      <c r="B12" s="17" t="s">
        <v>51</v>
      </c>
      <c r="C12" s="18" t="s">
        <v>52</v>
      </c>
      <c r="D12" s="17" t="n">
        <f aca="false">IF($C12="","",SUMIFS('4-Gün-Saat-Derslik Atama'!$K$7:$K$456,'4-Gün-Saat-Derslik Atama'!$G$7:$G$456,$C12,'4-Gün-Saat-Derslik Atama'!$A$7:$A$456,"Seçildi"))</f>
        <v>0</v>
      </c>
    </row>
    <row r="13" customFormat="false" ht="15" hidden="false" customHeight="false" outlineLevel="0" collapsed="false">
      <c r="A13" s="19" t="s">
        <v>44</v>
      </c>
      <c r="B13" s="19" t="s">
        <v>53</v>
      </c>
      <c r="C13" s="20" t="s">
        <v>54</v>
      </c>
      <c r="D13" s="19" t="n">
        <f aca="false">IF($C13="","",SUMIFS('4-Gün-Saat-Derslik Atama'!$K$7:$K$456,'4-Gün-Saat-Derslik Atama'!$G$7:$G$456,$C13,'4-Gün-Saat-Derslik Atama'!$A$7:$A$456,"Seçildi"))</f>
        <v>0</v>
      </c>
    </row>
    <row r="14" customFormat="false" ht="15" hidden="false" customHeight="false" outlineLevel="0" collapsed="false">
      <c r="A14" s="17" t="s">
        <v>44</v>
      </c>
      <c r="B14" s="17" t="s">
        <v>55</v>
      </c>
      <c r="C14" s="18" t="s">
        <v>56</v>
      </c>
      <c r="D14" s="17" t="n">
        <f aca="false">IF($C14="","",SUMIFS('4-Gün-Saat-Derslik Atama'!$K$7:$K$456,'4-Gün-Saat-Derslik Atama'!$G$7:$G$456,$C14,'4-Gün-Saat-Derslik Atama'!$A$7:$A$456,"Seçildi"))</f>
        <v>0</v>
      </c>
    </row>
    <row r="15" customFormat="false" ht="15" hidden="false" customHeight="false" outlineLevel="0" collapsed="false">
      <c r="A15" s="19" t="s">
        <v>44</v>
      </c>
      <c r="B15" s="19" t="s">
        <v>57</v>
      </c>
      <c r="C15" s="20" t="s">
        <v>58</v>
      </c>
      <c r="D15" s="19" t="n">
        <f aca="false">IF($C15="","",SUMIFS('4-Gün-Saat-Derslik Atama'!$K$7:$K$456,'4-Gün-Saat-Derslik Atama'!$G$7:$G$456,$C15,'4-Gün-Saat-Derslik Atama'!$A$7:$A$456,"Seçildi"))</f>
        <v>0</v>
      </c>
    </row>
    <row r="16" customFormat="false" ht="15" hidden="false" customHeight="false" outlineLevel="0" collapsed="false">
      <c r="A16" s="17" t="s">
        <v>59</v>
      </c>
      <c r="B16" s="17" t="s">
        <v>60</v>
      </c>
      <c r="C16" s="18" t="s">
        <v>61</v>
      </c>
      <c r="D16" s="17" t="n">
        <f aca="false">IF($C16="","",SUMIFS('4-Gün-Saat-Derslik Atama'!$K$7:$K$456,'4-Gün-Saat-Derslik Atama'!$G$7:$G$456,$C16,'4-Gün-Saat-Derslik Atama'!$A$7:$A$456,"Seçildi"))</f>
        <v>0</v>
      </c>
    </row>
    <row r="17" customFormat="false" ht="15" hidden="false" customHeight="false" outlineLevel="0" collapsed="false">
      <c r="A17" s="19" t="s">
        <v>59</v>
      </c>
      <c r="B17" s="19" t="s">
        <v>62</v>
      </c>
      <c r="C17" s="20" t="s">
        <v>63</v>
      </c>
      <c r="D17" s="19" t="n">
        <f aca="false">IF($C17="","",SUMIFS('4-Gün-Saat-Derslik Atama'!$K$7:$K$456,'4-Gün-Saat-Derslik Atama'!$G$7:$G$456,$C17,'4-Gün-Saat-Derslik Atama'!$A$7:$A$456,"Seçildi"))</f>
        <v>0</v>
      </c>
    </row>
    <row r="18" customFormat="false" ht="21.75" hidden="false" customHeight="true" outlineLevel="0" collapsed="false">
      <c r="A18" s="15" t="s">
        <v>64</v>
      </c>
      <c r="B18" s="15"/>
      <c r="C18" s="15"/>
      <c r="D18" s="15"/>
    </row>
    <row r="19" customFormat="false" ht="15" hidden="false" customHeight="false" outlineLevel="0" collapsed="false">
      <c r="A19" s="21"/>
      <c r="B19" s="21"/>
      <c r="C19" s="22"/>
      <c r="D19" s="19" t="str">
        <f aca="false">IF($C19="","",SUMIFS('4-Gün-Saat-Derslik Atama'!$K$7:$K$456,'4-Gün-Saat-Derslik Atama'!$G$7:$G$456,$C19,'4-Gün-Saat-Derslik Atama'!$A$7:$A$456,"Seçildi"))</f>
        <v/>
      </c>
    </row>
    <row r="20" customFormat="false" ht="15" hidden="false" customHeight="false" outlineLevel="0" collapsed="false">
      <c r="A20" s="21"/>
      <c r="B20" s="21"/>
      <c r="C20" s="22"/>
      <c r="D20" s="19" t="str">
        <f aca="false">IF($C20="","",SUMIFS('4-Gün-Saat-Derslik Atama'!$K$7:$K$456,'4-Gün-Saat-Derslik Atama'!$G$7:$G$456,$C20,'4-Gün-Saat-Derslik Atama'!$A$7:$A$456,"Seçildi"))</f>
        <v/>
      </c>
    </row>
    <row r="21" customFormat="false" ht="15" hidden="false" customHeight="false" outlineLevel="0" collapsed="false">
      <c r="A21" s="21"/>
      <c r="B21" s="21"/>
      <c r="C21" s="22"/>
      <c r="D21" s="19" t="str">
        <f aca="false">IF($C21="","",SUMIFS('4-Gün-Saat-Derslik Atama'!$K$7:$K$456,'4-Gün-Saat-Derslik Atama'!$G$7:$G$456,$C21,'4-Gün-Saat-Derslik Atama'!$A$7:$A$456,"Seçildi"))</f>
        <v/>
      </c>
    </row>
    <row r="22" customFormat="false" ht="15" hidden="false" customHeight="false" outlineLevel="0" collapsed="false">
      <c r="A22" s="21"/>
      <c r="B22" s="21"/>
      <c r="C22" s="22"/>
      <c r="D22" s="19" t="str">
        <f aca="false">IF($C22="","",SUMIFS('4-Gün-Saat-Derslik Atama'!$K$7:$K$456,'4-Gün-Saat-Derslik Atama'!$G$7:$G$456,$C22,'4-Gün-Saat-Derslik Atama'!$A$7:$A$456,"Seçildi"))</f>
        <v/>
      </c>
    </row>
    <row r="23" customFormat="false" ht="15" hidden="false" customHeight="false" outlineLevel="0" collapsed="false">
      <c r="A23" s="21"/>
      <c r="B23" s="21"/>
      <c r="C23" s="22"/>
      <c r="D23" s="19" t="str">
        <f aca="false">IF($C23="","",SUMIFS('4-Gün-Saat-Derslik Atama'!$K$7:$K$456,'4-Gün-Saat-Derslik Atama'!$G$7:$G$456,$C23,'4-Gün-Saat-Derslik Atama'!$A$7:$A$456,"Seçildi"))</f>
        <v/>
      </c>
    </row>
    <row r="24" customFormat="false" ht="15" hidden="false" customHeight="false" outlineLevel="0" collapsed="false">
      <c r="A24" s="21"/>
      <c r="B24" s="21"/>
      <c r="C24" s="22"/>
      <c r="D24" s="19" t="str">
        <f aca="false">IF($C24="","",SUMIFS('4-Gün-Saat-Derslik Atama'!$K$7:$K$456,'4-Gün-Saat-Derslik Atama'!$G$7:$G$456,$C24,'4-Gün-Saat-Derslik Atama'!$A$7:$A$456,"Seçildi"))</f>
        <v/>
      </c>
    </row>
    <row r="25" customFormat="false" ht="15" hidden="false" customHeight="false" outlineLevel="0" collapsed="false">
      <c r="A25" s="21"/>
      <c r="B25" s="21"/>
      <c r="C25" s="22"/>
      <c r="D25" s="19" t="str">
        <f aca="false">IF($C25="","",SUMIFS('4-Gün-Saat-Derslik Atama'!$K$7:$K$456,'4-Gün-Saat-Derslik Atama'!$G$7:$G$456,$C25,'4-Gün-Saat-Derslik Atama'!$A$7:$A$456,"Seçildi"))</f>
        <v/>
      </c>
    </row>
    <row r="26" customFormat="false" ht="15" hidden="false" customHeight="false" outlineLevel="0" collapsed="false">
      <c r="A26" s="21"/>
      <c r="B26" s="21"/>
      <c r="C26" s="22"/>
      <c r="D26" s="19" t="str">
        <f aca="false">IF($C26="","",SUMIFS('4-Gün-Saat-Derslik Atama'!$K$7:$K$456,'4-Gün-Saat-Derslik Atama'!$G$7:$G$456,$C26,'4-Gün-Saat-Derslik Atama'!$A$7:$A$456,"Seçildi"))</f>
        <v/>
      </c>
    </row>
    <row r="27" customFormat="false" ht="15" hidden="false" customHeight="false" outlineLevel="0" collapsed="false">
      <c r="A27" s="21"/>
      <c r="B27" s="21"/>
      <c r="C27" s="22"/>
      <c r="D27" s="19" t="str">
        <f aca="false">IF($C27="","",SUMIFS('4-Gün-Saat-Derslik Atama'!$K$7:$K$456,'4-Gün-Saat-Derslik Atama'!$G$7:$G$456,$C27,'4-Gün-Saat-Derslik Atama'!$A$7:$A$456,"Seçildi"))</f>
        <v/>
      </c>
    </row>
    <row r="28" customFormat="false" ht="15" hidden="false" customHeight="false" outlineLevel="0" collapsed="false">
      <c r="A28" s="21"/>
      <c r="B28" s="21"/>
      <c r="C28" s="22"/>
      <c r="D28" s="19" t="str">
        <f aca="false">IF($C28="","",SUMIFS('4-Gün-Saat-Derslik Atama'!$K$7:$K$456,'4-Gün-Saat-Derslik Atama'!$G$7:$G$456,$C28,'4-Gün-Saat-Derslik Atama'!$A$7:$A$456,"Seçildi"))</f>
        <v/>
      </c>
    </row>
    <row r="29" customFormat="false" ht="15" hidden="false" customHeight="false" outlineLevel="0" collapsed="false">
      <c r="A29" s="21"/>
      <c r="B29" s="21"/>
      <c r="C29" s="22"/>
      <c r="D29" s="19" t="str">
        <f aca="false">IF($C29="","",SUMIFS('4-Gün-Saat-Derslik Atama'!$K$7:$K$456,'4-Gün-Saat-Derslik Atama'!$G$7:$G$456,$C29,'4-Gün-Saat-Derslik Atama'!$A$7:$A$456,"Seçildi"))</f>
        <v/>
      </c>
    </row>
    <row r="30" customFormat="false" ht="15" hidden="false" customHeight="false" outlineLevel="0" collapsed="false">
      <c r="A30" s="21"/>
      <c r="B30" s="21"/>
      <c r="C30" s="22"/>
      <c r="D30" s="19" t="str">
        <f aca="false">IF($C30="","",SUMIFS('4-Gün-Saat-Derslik Atama'!$K$7:$K$456,'4-Gün-Saat-Derslik Atama'!$G$7:$G$456,$C30,'4-Gün-Saat-Derslik Atama'!$A$7:$A$456,"Seçildi"))</f>
        <v/>
      </c>
    </row>
    <row r="31" customFormat="false" ht="15" hidden="false" customHeight="false" outlineLevel="0" collapsed="false">
      <c r="A31" s="21"/>
      <c r="B31" s="21"/>
      <c r="C31" s="22"/>
      <c r="D31" s="19" t="str">
        <f aca="false">IF($C31="","",SUMIFS('4-Gün-Saat-Derslik Atama'!$K$7:$K$456,'4-Gün-Saat-Derslik Atama'!$G$7:$G$456,$C31,'4-Gün-Saat-Derslik Atama'!$A$7:$A$456,"Seçildi"))</f>
        <v/>
      </c>
    </row>
    <row r="32" customFormat="false" ht="15" hidden="false" customHeight="false" outlineLevel="0" collapsed="false">
      <c r="A32" s="21"/>
      <c r="B32" s="21"/>
      <c r="C32" s="22"/>
      <c r="D32" s="19" t="str">
        <f aca="false">IF($C32="","",SUMIFS('4-Gün-Saat-Derslik Atama'!$K$7:$K$456,'4-Gün-Saat-Derslik Atama'!$G$7:$G$456,$C32,'4-Gün-Saat-Derslik Atama'!$A$7:$A$456,"Seçildi"))</f>
        <v/>
      </c>
    </row>
    <row r="33" customFormat="false" ht="15" hidden="false" customHeight="false" outlineLevel="0" collapsed="false">
      <c r="A33" s="21"/>
      <c r="B33" s="21"/>
      <c r="C33" s="22"/>
      <c r="D33" s="19" t="str">
        <f aca="false">IF($C33="","",SUMIFS('4-Gün-Saat-Derslik Atama'!$K$7:$K$456,'4-Gün-Saat-Derslik Atama'!$G$7:$G$456,$C33,'4-Gün-Saat-Derslik Atama'!$A$7:$A$456,"Seçildi"))</f>
        <v/>
      </c>
    </row>
    <row r="34" customFormat="false" ht="15" hidden="false" customHeight="false" outlineLevel="0" collapsed="false">
      <c r="A34" s="21"/>
      <c r="B34" s="21"/>
      <c r="C34" s="22"/>
      <c r="D34" s="19" t="str">
        <f aca="false">IF($C34="","",SUMIFS('4-Gün-Saat-Derslik Atama'!$K$7:$K$456,'4-Gün-Saat-Derslik Atama'!$G$7:$G$456,$C34,'4-Gün-Saat-Derslik Atama'!$A$7:$A$456,"Seçildi"))</f>
        <v/>
      </c>
    </row>
    <row r="35" customFormat="false" ht="15" hidden="false" customHeight="false" outlineLevel="0" collapsed="false">
      <c r="A35" s="21"/>
      <c r="B35" s="21"/>
      <c r="C35" s="22"/>
      <c r="D35" s="19" t="str">
        <f aca="false">IF($C35="","",SUMIFS('4-Gün-Saat-Derslik Atama'!$K$7:$K$456,'4-Gün-Saat-Derslik Atama'!$G$7:$G$456,$C35,'4-Gün-Saat-Derslik Atama'!$A$7:$A$456,"Seçildi"))</f>
        <v/>
      </c>
    </row>
    <row r="36" customFormat="false" ht="15" hidden="false" customHeight="false" outlineLevel="0" collapsed="false">
      <c r="A36" s="21"/>
      <c r="B36" s="21"/>
      <c r="C36" s="22"/>
      <c r="D36" s="19" t="str">
        <f aca="false">IF($C36="","",SUMIFS('4-Gün-Saat-Derslik Atama'!$K$7:$K$456,'4-Gün-Saat-Derslik Atama'!$G$7:$G$456,$C36,'4-Gün-Saat-Derslik Atama'!$A$7:$A$456,"Seçildi"))</f>
        <v/>
      </c>
    </row>
    <row r="37" customFormat="false" ht="15" hidden="false" customHeight="false" outlineLevel="0" collapsed="false">
      <c r="A37" s="21"/>
      <c r="B37" s="21"/>
      <c r="C37" s="22"/>
      <c r="D37" s="19" t="str">
        <f aca="false">IF($C37="","",SUMIFS('4-Gün-Saat-Derslik Atama'!$K$7:$K$456,'4-Gün-Saat-Derslik Atama'!$G$7:$G$456,$C37,'4-Gün-Saat-Derslik Atama'!$A$7:$A$456,"Seçildi"))</f>
        <v/>
      </c>
    </row>
    <row r="38" customFormat="false" ht="15" hidden="false" customHeight="false" outlineLevel="0" collapsed="false">
      <c r="A38" s="21"/>
      <c r="B38" s="21"/>
      <c r="C38" s="22"/>
      <c r="D38" s="19" t="str">
        <f aca="false">IF($C38="","",SUMIFS('4-Gün-Saat-Derslik Atama'!$K$7:$K$456,'4-Gün-Saat-Derslik Atama'!$G$7:$G$456,$C38,'4-Gün-Saat-Derslik Atama'!$A$7:$A$456,"Seçildi"))</f>
        <v/>
      </c>
    </row>
    <row r="39" customFormat="false" ht="15" hidden="false" customHeight="false" outlineLevel="0" collapsed="false">
      <c r="A39" s="21"/>
      <c r="B39" s="21"/>
      <c r="C39" s="22"/>
      <c r="D39" s="19" t="str">
        <f aca="false">IF($C39="","",SUMIFS('4-Gün-Saat-Derslik Atama'!$K$7:$K$456,'4-Gün-Saat-Derslik Atama'!$G$7:$G$456,$C39,'4-Gün-Saat-Derslik Atama'!$A$7:$A$456,"Seçildi"))</f>
        <v/>
      </c>
    </row>
    <row r="40" customFormat="false" ht="15" hidden="false" customHeight="false" outlineLevel="0" collapsed="false">
      <c r="A40" s="21"/>
      <c r="B40" s="21"/>
      <c r="C40" s="22"/>
      <c r="D40" s="19" t="str">
        <f aca="false">IF($C40="","",SUMIFS('4-Gün-Saat-Derslik Atama'!$K$7:$K$456,'4-Gün-Saat-Derslik Atama'!$G$7:$G$456,$C40,'4-Gün-Saat-Derslik Atama'!$A$7:$A$456,"Seçildi"))</f>
        <v/>
      </c>
    </row>
    <row r="41" customFormat="false" ht="15" hidden="false" customHeight="false" outlineLevel="0" collapsed="false">
      <c r="A41" s="21"/>
      <c r="B41" s="21"/>
      <c r="C41" s="22"/>
      <c r="D41" s="19" t="str">
        <f aca="false">IF($C41="","",SUMIFS('4-Gün-Saat-Derslik Atama'!$K$7:$K$456,'4-Gün-Saat-Derslik Atama'!$G$7:$G$456,$C41,'4-Gün-Saat-Derslik Atama'!$A$7:$A$456,"Seçildi"))</f>
        <v/>
      </c>
    </row>
    <row r="42" customFormat="false" ht="15" hidden="false" customHeight="false" outlineLevel="0" collapsed="false">
      <c r="A42" s="21"/>
      <c r="B42" s="21"/>
      <c r="C42" s="22"/>
      <c r="D42" s="19" t="str">
        <f aca="false">IF($C42="","",SUMIFS('4-Gün-Saat-Derslik Atama'!$K$7:$K$456,'4-Gün-Saat-Derslik Atama'!$G$7:$G$456,$C42,'4-Gün-Saat-Derslik Atama'!$A$7:$A$456,"Seçildi"))</f>
        <v/>
      </c>
    </row>
    <row r="43" customFormat="false" ht="15" hidden="false" customHeight="false" outlineLevel="0" collapsed="false">
      <c r="A43" s="21"/>
      <c r="B43" s="21"/>
      <c r="C43" s="22"/>
      <c r="D43" s="19" t="str">
        <f aca="false">IF($C43="","",SUMIFS('4-Gün-Saat-Derslik Atama'!$K$7:$K$456,'4-Gün-Saat-Derslik Atama'!$G$7:$G$456,$C43,'4-Gün-Saat-Derslik Atama'!$A$7:$A$456,"Seçildi"))</f>
        <v/>
      </c>
    </row>
    <row r="44" customFormat="false" ht="15" hidden="false" customHeight="false" outlineLevel="0" collapsed="false">
      <c r="A44" s="21"/>
      <c r="B44" s="21"/>
      <c r="C44" s="22"/>
      <c r="D44" s="19" t="str">
        <f aca="false">IF($C44="","",SUMIFS('4-Gün-Saat-Derslik Atama'!$K$7:$K$456,'4-Gün-Saat-Derslik Atama'!$G$7:$G$456,$C44,'4-Gün-Saat-Derslik Atama'!$A$7:$A$456,"Seçildi"))</f>
        <v/>
      </c>
    </row>
    <row r="45" customFormat="false" ht="15" hidden="false" customHeight="false" outlineLevel="0" collapsed="false">
      <c r="A45" s="21"/>
      <c r="B45" s="21"/>
      <c r="C45" s="22"/>
      <c r="D45" s="19" t="str">
        <f aca="false">IF($C45="","",SUMIFS('4-Gün-Saat-Derslik Atama'!$K$7:$K$456,'4-Gün-Saat-Derslik Atama'!$G$7:$G$456,$C45,'4-Gün-Saat-Derslik Atama'!$A$7:$A$456,"Seçildi"))</f>
        <v/>
      </c>
    </row>
    <row r="46" customFormat="false" ht="15" hidden="false" customHeight="false" outlineLevel="0" collapsed="false">
      <c r="A46" s="21"/>
      <c r="B46" s="21"/>
      <c r="C46" s="22"/>
      <c r="D46" s="19" t="str">
        <f aca="false">IF($C46="","",SUMIFS('4-Gün-Saat-Derslik Atama'!$K$7:$K$456,'4-Gün-Saat-Derslik Atama'!$G$7:$G$456,$C46,'4-Gün-Saat-Derslik Atama'!$A$7:$A$456,"Seçildi"))</f>
        <v/>
      </c>
    </row>
    <row r="47" customFormat="false" ht="15" hidden="false" customHeight="false" outlineLevel="0" collapsed="false">
      <c r="A47" s="21"/>
      <c r="B47" s="21"/>
      <c r="C47" s="22"/>
      <c r="D47" s="19" t="str">
        <f aca="false">IF($C47="","",SUMIFS('4-Gün-Saat-Derslik Atama'!$K$7:$K$456,'4-Gün-Saat-Derslik Atama'!$G$7:$G$456,$C47,'4-Gün-Saat-Derslik Atama'!$A$7:$A$456,"Seçildi"))</f>
        <v/>
      </c>
    </row>
    <row r="48" customFormat="false" ht="15" hidden="false" customHeight="false" outlineLevel="0" collapsed="false">
      <c r="A48" s="21"/>
      <c r="B48" s="21"/>
      <c r="C48" s="22"/>
      <c r="D48" s="19" t="str">
        <f aca="false">IF($C48="","",SUMIFS('4-Gün-Saat-Derslik Atama'!$K$7:$K$456,'4-Gün-Saat-Derslik Atama'!$G$7:$G$456,$C48,'4-Gün-Saat-Derslik Atama'!$A$7:$A$456,"Seçildi"))</f>
        <v/>
      </c>
    </row>
    <row r="49" customFormat="false" ht="15" hidden="false" customHeight="false" outlineLevel="0" collapsed="false">
      <c r="A49" s="21"/>
      <c r="B49" s="21"/>
      <c r="C49" s="22"/>
      <c r="D49" s="19" t="str">
        <f aca="false">IF($C49="","",SUMIFS('4-Gün-Saat-Derslik Atama'!$K$7:$K$456,'4-Gün-Saat-Derslik Atama'!$G$7:$G$456,$C49,'4-Gün-Saat-Derslik Atama'!$A$7:$A$456,"Seçildi"))</f>
        <v/>
      </c>
    </row>
  </sheetData>
  <mergeCells count="3">
    <mergeCell ref="A1:D1"/>
    <mergeCell ref="A2:D2"/>
    <mergeCell ref="A18:D18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8"/>
    <pageSetUpPr fitToPage="true"/>
  </sheetPr>
  <dimension ref="A1:K1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2" topLeftCell="D3" activePane="bottomRight" state="frozen"/>
      <selection pane="topLeft" activeCell="A1" activeCellId="0" sqref="A1"/>
      <selection pane="topRight" activeCell="D1" activeCellId="0" sqref="D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7"/>
    <col collapsed="false" customWidth="true" hidden="false" outlineLevel="0" max="3" min="3" style="0" width="13"/>
    <col collapsed="false" customWidth="true" hidden="false" outlineLevel="0" max="4" min="4" style="0" width="40"/>
    <col collapsed="false" customWidth="true" hidden="false" outlineLevel="0" max="5" min="5" style="0" width="9"/>
    <col collapsed="false" customWidth="true" hidden="false" outlineLevel="0" max="6" min="6" style="0" width="8"/>
    <col collapsed="false" customWidth="true" hidden="false" outlineLevel="0" max="7" min="7" style="0" width="9"/>
    <col collapsed="false" customWidth="true" hidden="false" outlineLevel="0" max="8" min="8" style="0" width="10"/>
    <col collapsed="false" customWidth="true" hidden="false" outlineLevel="0" max="9" min="9" style="0" width="7"/>
    <col collapsed="false" customWidth="true" hidden="false" outlineLevel="0" max="10" min="10" style="0" width="15"/>
    <col collapsed="false" customWidth="true" hidden="false" outlineLevel="0" max="11" min="11" style="0" width="13"/>
  </cols>
  <sheetData>
    <row r="1" customFormat="false" ht="30" hidden="false" customHeight="true" outlineLevel="0" collapsed="false">
      <c r="A1" s="23" t="s">
        <v>65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customFormat="false" ht="30" hidden="false" customHeight="true" outlineLevel="0" collapsed="false">
      <c r="A2" s="16" t="s">
        <v>66</v>
      </c>
      <c r="B2" s="16" t="s">
        <v>67</v>
      </c>
      <c r="C2" s="16" t="s">
        <v>68</v>
      </c>
      <c r="D2" s="16" t="s">
        <v>69</v>
      </c>
      <c r="E2" s="16" t="s">
        <v>70</v>
      </c>
      <c r="F2" s="16" t="s">
        <v>71</v>
      </c>
      <c r="G2" s="16" t="s">
        <v>72</v>
      </c>
      <c r="H2" s="16" t="s">
        <v>73</v>
      </c>
      <c r="I2" s="16" t="s">
        <v>74</v>
      </c>
      <c r="J2" s="16" t="s">
        <v>75</v>
      </c>
      <c r="K2" s="16" t="s">
        <v>76</v>
      </c>
    </row>
    <row r="3" customFormat="false" ht="15.75" hidden="false" customHeight="true" outlineLevel="0" collapsed="false">
      <c r="A3" s="17" t="n">
        <v>1</v>
      </c>
      <c r="B3" s="17" t="n">
        <v>1</v>
      </c>
      <c r="C3" s="17" t="s">
        <v>77</v>
      </c>
      <c r="D3" s="24" t="s">
        <v>78</v>
      </c>
      <c r="E3" s="17" t="s">
        <v>79</v>
      </c>
      <c r="F3" s="17" t="n">
        <v>2</v>
      </c>
      <c r="G3" s="17" t="n">
        <v>0</v>
      </c>
      <c r="H3" s="17" t="n">
        <f aca="false">IF(AND(F3="",G3=""),"",F3+G3)</f>
        <v>2</v>
      </c>
      <c r="I3" s="17" t="n">
        <v>2</v>
      </c>
      <c r="J3" s="17" t="s">
        <v>80</v>
      </c>
      <c r="K3" s="25" t="s">
        <v>81</v>
      </c>
    </row>
    <row r="4" customFormat="false" ht="15.75" hidden="false" customHeight="true" outlineLevel="0" collapsed="false">
      <c r="A4" s="19" t="n">
        <v>1</v>
      </c>
      <c r="B4" s="19" t="n">
        <v>1</v>
      </c>
      <c r="C4" s="19" t="s">
        <v>82</v>
      </c>
      <c r="D4" s="26" t="s">
        <v>83</v>
      </c>
      <c r="E4" s="19" t="s">
        <v>79</v>
      </c>
      <c r="F4" s="19" t="n">
        <v>1</v>
      </c>
      <c r="G4" s="19" t="n">
        <v>1</v>
      </c>
      <c r="H4" s="19" t="n">
        <f aca="false">IF(AND(F4="",G4=""),"",F4+G4)</f>
        <v>2</v>
      </c>
      <c r="I4" s="19" t="n">
        <v>3</v>
      </c>
      <c r="J4" s="19" t="s">
        <v>80</v>
      </c>
      <c r="K4" s="25" t="s">
        <v>81</v>
      </c>
    </row>
    <row r="5" customFormat="false" ht="15.75" hidden="false" customHeight="true" outlineLevel="0" collapsed="false">
      <c r="A5" s="17" t="n">
        <v>1</v>
      </c>
      <c r="B5" s="17" t="n">
        <v>1</v>
      </c>
      <c r="C5" s="17" t="s">
        <v>84</v>
      </c>
      <c r="D5" s="24" t="s">
        <v>85</v>
      </c>
      <c r="E5" s="17" t="s">
        <v>79</v>
      </c>
      <c r="F5" s="17" t="n">
        <v>6</v>
      </c>
      <c r="G5" s="17" t="n">
        <v>0</v>
      </c>
      <c r="H5" s="17" t="n">
        <f aca="false">IF(AND(F5="",G5=""),"",F5+G5)</f>
        <v>6</v>
      </c>
      <c r="I5" s="17" t="n">
        <v>6</v>
      </c>
      <c r="J5" s="17" t="s">
        <v>80</v>
      </c>
      <c r="K5" s="25" t="s">
        <v>81</v>
      </c>
    </row>
    <row r="6" customFormat="false" ht="15.75" hidden="false" customHeight="true" outlineLevel="0" collapsed="false">
      <c r="A6" s="19" t="n">
        <v>1</v>
      </c>
      <c r="B6" s="19" t="n">
        <v>1</v>
      </c>
      <c r="C6" s="19" t="s">
        <v>86</v>
      </c>
      <c r="D6" s="26" t="s">
        <v>87</v>
      </c>
      <c r="E6" s="19" t="s">
        <v>79</v>
      </c>
      <c r="F6" s="19" t="n">
        <v>6</v>
      </c>
      <c r="G6" s="19" t="n">
        <v>0</v>
      </c>
      <c r="H6" s="19" t="n">
        <f aca="false">IF(AND(F6="",G6=""),"",F6+G6)</f>
        <v>6</v>
      </c>
      <c r="I6" s="19" t="n">
        <v>6</v>
      </c>
      <c r="J6" s="19" t="s">
        <v>80</v>
      </c>
      <c r="K6" s="25" t="s">
        <v>81</v>
      </c>
    </row>
    <row r="7" customFormat="false" ht="15.75" hidden="false" customHeight="true" outlineLevel="0" collapsed="false">
      <c r="A7" s="17" t="n">
        <v>1</v>
      </c>
      <c r="B7" s="17" t="n">
        <v>1</v>
      </c>
      <c r="C7" s="17" t="s">
        <v>88</v>
      </c>
      <c r="D7" s="24" t="s">
        <v>89</v>
      </c>
      <c r="E7" s="17" t="s">
        <v>79</v>
      </c>
      <c r="F7" s="17" t="n">
        <v>2</v>
      </c>
      <c r="G7" s="17" t="n">
        <v>0</v>
      </c>
      <c r="H7" s="17" t="n">
        <f aca="false">IF(AND(F7="",G7=""),"",F7+G7)</f>
        <v>2</v>
      </c>
      <c r="I7" s="17" t="n">
        <v>2</v>
      </c>
      <c r="J7" s="17" t="s">
        <v>80</v>
      </c>
      <c r="K7" s="25" t="s">
        <v>81</v>
      </c>
    </row>
    <row r="8" customFormat="false" ht="15.75" hidden="false" customHeight="true" outlineLevel="0" collapsed="false">
      <c r="A8" s="19" t="n">
        <v>1</v>
      </c>
      <c r="B8" s="19" t="n">
        <v>1</v>
      </c>
      <c r="C8" s="19" t="s">
        <v>90</v>
      </c>
      <c r="D8" s="26" t="s">
        <v>91</v>
      </c>
      <c r="E8" s="19" t="s">
        <v>79</v>
      </c>
      <c r="F8" s="19" t="n">
        <v>1</v>
      </c>
      <c r="G8" s="19" t="n">
        <v>1</v>
      </c>
      <c r="H8" s="19" t="n">
        <f aca="false">IF(AND(F8="",G8=""),"",F8+G8)</f>
        <v>2</v>
      </c>
      <c r="I8" s="19" t="n">
        <v>3</v>
      </c>
      <c r="J8" s="19" t="s">
        <v>80</v>
      </c>
      <c r="K8" s="25" t="s">
        <v>81</v>
      </c>
    </row>
    <row r="9" customFormat="false" ht="15.75" hidden="false" customHeight="true" outlineLevel="0" collapsed="false">
      <c r="A9" s="17" t="n">
        <v>1</v>
      </c>
      <c r="B9" s="17" t="n">
        <v>1</v>
      </c>
      <c r="C9" s="17" t="s">
        <v>92</v>
      </c>
      <c r="D9" s="24" t="s">
        <v>93</v>
      </c>
      <c r="E9" s="17" t="s">
        <v>79</v>
      </c>
      <c r="F9" s="17" t="n">
        <v>2</v>
      </c>
      <c r="G9" s="17" t="n">
        <v>0</v>
      </c>
      <c r="H9" s="17" t="n">
        <f aca="false">IF(AND(F9="",G9=""),"",F9+G9)</f>
        <v>2</v>
      </c>
      <c r="I9" s="17" t="n">
        <v>4</v>
      </c>
      <c r="J9" s="17" t="s">
        <v>80</v>
      </c>
      <c r="K9" s="25" t="s">
        <v>81</v>
      </c>
    </row>
    <row r="10" customFormat="false" ht="15.75" hidden="false" customHeight="true" outlineLevel="0" collapsed="false">
      <c r="A10" s="19" t="n">
        <v>1</v>
      </c>
      <c r="B10" s="19" t="n">
        <v>1</v>
      </c>
      <c r="C10" s="19" t="s">
        <v>94</v>
      </c>
      <c r="D10" s="26" t="s">
        <v>95</v>
      </c>
      <c r="E10" s="19" t="s">
        <v>79</v>
      </c>
      <c r="F10" s="19" t="n">
        <v>2</v>
      </c>
      <c r="G10" s="19" t="n">
        <v>0</v>
      </c>
      <c r="H10" s="19" t="n">
        <f aca="false">IF(AND(F10="",G10=""),"",F10+G10)</f>
        <v>2</v>
      </c>
      <c r="I10" s="19" t="n">
        <v>4</v>
      </c>
      <c r="J10" s="19" t="s">
        <v>80</v>
      </c>
      <c r="K10" s="25" t="s">
        <v>81</v>
      </c>
    </row>
    <row r="11" customFormat="false" ht="15.75" hidden="false" customHeight="true" outlineLevel="0" collapsed="false">
      <c r="A11" s="17" t="n">
        <v>2</v>
      </c>
      <c r="B11" s="17" t="n">
        <v>1</v>
      </c>
      <c r="C11" s="17" t="s">
        <v>96</v>
      </c>
      <c r="D11" s="24" t="s">
        <v>97</v>
      </c>
      <c r="E11" s="17" t="s">
        <v>79</v>
      </c>
      <c r="F11" s="17" t="n">
        <v>2</v>
      </c>
      <c r="G11" s="17" t="n">
        <v>0</v>
      </c>
      <c r="H11" s="17" t="n">
        <f aca="false">IF(AND(F11="",G11=""),"",F11+G11)</f>
        <v>2</v>
      </c>
      <c r="I11" s="17" t="n">
        <v>2</v>
      </c>
      <c r="J11" s="17" t="s">
        <v>80</v>
      </c>
      <c r="K11" s="25" t="s">
        <v>81</v>
      </c>
    </row>
    <row r="12" customFormat="false" ht="15.75" hidden="false" customHeight="true" outlineLevel="0" collapsed="false">
      <c r="A12" s="19" t="n">
        <v>2</v>
      </c>
      <c r="B12" s="19" t="n">
        <v>1</v>
      </c>
      <c r="C12" s="19" t="s">
        <v>98</v>
      </c>
      <c r="D12" s="26" t="s">
        <v>99</v>
      </c>
      <c r="E12" s="19" t="s">
        <v>79</v>
      </c>
      <c r="F12" s="19" t="n">
        <v>2</v>
      </c>
      <c r="G12" s="19" t="n">
        <v>0</v>
      </c>
      <c r="H12" s="19" t="n">
        <f aca="false">IF(AND(F12="",G12=""),"",F12+G12)</f>
        <v>2</v>
      </c>
      <c r="I12" s="19" t="n">
        <v>2</v>
      </c>
      <c r="J12" s="19" t="s">
        <v>80</v>
      </c>
      <c r="K12" s="25" t="s">
        <v>81</v>
      </c>
    </row>
    <row r="13" customFormat="false" ht="15.75" hidden="false" customHeight="true" outlineLevel="0" collapsed="false">
      <c r="A13" s="17" t="n">
        <v>2</v>
      </c>
      <c r="B13" s="17" t="n">
        <v>1</v>
      </c>
      <c r="C13" s="17" t="s">
        <v>100</v>
      </c>
      <c r="D13" s="24" t="s">
        <v>101</v>
      </c>
      <c r="E13" s="17" t="s">
        <v>79</v>
      </c>
      <c r="F13" s="17" t="n">
        <v>6</v>
      </c>
      <c r="G13" s="17" t="n">
        <v>0</v>
      </c>
      <c r="H13" s="17" t="n">
        <f aca="false">IF(AND(F13="",G13=""),"",F13+G13)</f>
        <v>6</v>
      </c>
      <c r="I13" s="17" t="n">
        <v>6</v>
      </c>
      <c r="J13" s="17" t="s">
        <v>80</v>
      </c>
      <c r="K13" s="25" t="s">
        <v>81</v>
      </c>
    </row>
    <row r="14" customFormat="false" ht="15.75" hidden="false" customHeight="true" outlineLevel="0" collapsed="false">
      <c r="A14" s="19" t="n">
        <v>2</v>
      </c>
      <c r="B14" s="19" t="n">
        <v>1</v>
      </c>
      <c r="C14" s="19" t="s">
        <v>102</v>
      </c>
      <c r="D14" s="26" t="s">
        <v>103</v>
      </c>
      <c r="E14" s="19" t="s">
        <v>79</v>
      </c>
      <c r="F14" s="19" t="n">
        <v>6</v>
      </c>
      <c r="G14" s="19" t="n">
        <v>0</v>
      </c>
      <c r="H14" s="19" t="n">
        <f aca="false">IF(AND(F14="",G14=""),"",F14+G14)</f>
        <v>6</v>
      </c>
      <c r="I14" s="19" t="n">
        <v>6</v>
      </c>
      <c r="J14" s="19" t="s">
        <v>80</v>
      </c>
      <c r="K14" s="25" t="s">
        <v>81</v>
      </c>
    </row>
    <row r="15" customFormat="false" ht="15.75" hidden="false" customHeight="true" outlineLevel="0" collapsed="false">
      <c r="A15" s="17" t="n">
        <v>2</v>
      </c>
      <c r="B15" s="17" t="n">
        <v>1</v>
      </c>
      <c r="C15" s="17" t="s">
        <v>104</v>
      </c>
      <c r="D15" s="24" t="s">
        <v>105</v>
      </c>
      <c r="E15" s="17" t="s">
        <v>79</v>
      </c>
      <c r="F15" s="17" t="n">
        <v>2</v>
      </c>
      <c r="G15" s="17" t="n">
        <v>0</v>
      </c>
      <c r="H15" s="17" t="n">
        <f aca="false">IF(AND(F15="",G15=""),"",F15+G15)</f>
        <v>2</v>
      </c>
      <c r="I15" s="17" t="n">
        <v>4</v>
      </c>
      <c r="J15" s="17" t="s">
        <v>80</v>
      </c>
      <c r="K15" s="25" t="s">
        <v>81</v>
      </c>
    </row>
    <row r="16" customFormat="false" ht="15.75" hidden="false" customHeight="true" outlineLevel="0" collapsed="false">
      <c r="A16" s="19" t="n">
        <v>2</v>
      </c>
      <c r="B16" s="19" t="n">
        <v>1</v>
      </c>
      <c r="C16" s="19" t="s">
        <v>106</v>
      </c>
      <c r="D16" s="26" t="s">
        <v>107</v>
      </c>
      <c r="E16" s="19" t="s">
        <v>79</v>
      </c>
      <c r="F16" s="19" t="n">
        <v>2</v>
      </c>
      <c r="G16" s="19" t="n">
        <v>0</v>
      </c>
      <c r="H16" s="19" t="n">
        <f aca="false">IF(AND(F16="",G16=""),"",F16+G16)</f>
        <v>2</v>
      </c>
      <c r="I16" s="19" t="n">
        <v>3</v>
      </c>
      <c r="J16" s="19" t="s">
        <v>80</v>
      </c>
      <c r="K16" s="25" t="s">
        <v>81</v>
      </c>
    </row>
    <row r="17" customFormat="false" ht="15.75" hidden="false" customHeight="true" outlineLevel="0" collapsed="false">
      <c r="A17" s="17" t="n">
        <v>2</v>
      </c>
      <c r="B17" s="17" t="n">
        <v>1</v>
      </c>
      <c r="C17" s="17" t="s">
        <v>108</v>
      </c>
      <c r="D17" s="24" t="s">
        <v>109</v>
      </c>
      <c r="E17" s="17" t="s">
        <v>79</v>
      </c>
      <c r="F17" s="17" t="n">
        <v>2</v>
      </c>
      <c r="G17" s="17" t="n">
        <v>0</v>
      </c>
      <c r="H17" s="17" t="n">
        <f aca="false">IF(AND(F17="",G17=""),"",F17+G17)</f>
        <v>2</v>
      </c>
      <c r="I17" s="17" t="n">
        <v>3</v>
      </c>
      <c r="J17" s="17" t="s">
        <v>80</v>
      </c>
      <c r="K17" s="25" t="s">
        <v>81</v>
      </c>
    </row>
    <row r="18" customFormat="false" ht="15.75" hidden="false" customHeight="true" outlineLevel="0" collapsed="false">
      <c r="A18" s="19" t="n">
        <v>2</v>
      </c>
      <c r="B18" s="19" t="n">
        <v>1</v>
      </c>
      <c r="C18" s="19" t="s">
        <v>110</v>
      </c>
      <c r="D18" s="26" t="s">
        <v>111</v>
      </c>
      <c r="E18" s="19" t="s">
        <v>112</v>
      </c>
      <c r="F18" s="19" t="n">
        <v>2</v>
      </c>
      <c r="G18" s="19" t="n">
        <v>0</v>
      </c>
      <c r="H18" s="19" t="n">
        <f aca="false">IF(AND(F18="",G18=""),"",F18+G18)</f>
        <v>2</v>
      </c>
      <c r="I18" s="19" t="n">
        <v>4</v>
      </c>
      <c r="J18" s="19" t="s">
        <v>113</v>
      </c>
      <c r="K18" s="25" t="s">
        <v>81</v>
      </c>
    </row>
    <row r="19" customFormat="false" ht="15.75" hidden="false" customHeight="true" outlineLevel="0" collapsed="false">
      <c r="A19" s="17" t="n">
        <v>2</v>
      </c>
      <c r="B19" s="17" t="n">
        <v>1</v>
      </c>
      <c r="C19" s="17" t="s">
        <v>114</v>
      </c>
      <c r="D19" s="24" t="s">
        <v>115</v>
      </c>
      <c r="E19" s="17" t="s">
        <v>112</v>
      </c>
      <c r="F19" s="17" t="n">
        <v>2</v>
      </c>
      <c r="G19" s="17" t="n">
        <v>0</v>
      </c>
      <c r="H19" s="17" t="n">
        <f aca="false">IF(AND(F19="",G19=""),"",F19+G19)</f>
        <v>2</v>
      </c>
      <c r="I19" s="17" t="n">
        <v>4</v>
      </c>
      <c r="J19" s="17" t="s">
        <v>113</v>
      </c>
      <c r="K19" s="25" t="s">
        <v>81</v>
      </c>
    </row>
    <row r="20" customFormat="false" ht="15.75" hidden="false" customHeight="true" outlineLevel="0" collapsed="false">
      <c r="A20" s="19" t="n">
        <v>3</v>
      </c>
      <c r="B20" s="19" t="n">
        <v>2</v>
      </c>
      <c r="C20" s="19" t="s">
        <v>116</v>
      </c>
      <c r="D20" s="26" t="s">
        <v>117</v>
      </c>
      <c r="E20" s="19" t="s">
        <v>79</v>
      </c>
      <c r="F20" s="19" t="n">
        <v>4</v>
      </c>
      <c r="G20" s="19" t="n">
        <v>0</v>
      </c>
      <c r="H20" s="19" t="n">
        <f aca="false">IF(AND(F20="",G20=""),"",F20+G20)</f>
        <v>4</v>
      </c>
      <c r="I20" s="19" t="n">
        <v>4</v>
      </c>
      <c r="J20" s="19" t="s">
        <v>80</v>
      </c>
      <c r="K20" s="25" t="s">
        <v>81</v>
      </c>
    </row>
    <row r="21" customFormat="false" ht="15.75" hidden="false" customHeight="true" outlineLevel="0" collapsed="false">
      <c r="A21" s="17" t="n">
        <v>3</v>
      </c>
      <c r="B21" s="17" t="n">
        <v>2</v>
      </c>
      <c r="C21" s="17" t="s">
        <v>118</v>
      </c>
      <c r="D21" s="24" t="s">
        <v>119</v>
      </c>
      <c r="E21" s="17" t="s">
        <v>79</v>
      </c>
      <c r="F21" s="17" t="n">
        <v>4</v>
      </c>
      <c r="G21" s="17" t="n">
        <v>0</v>
      </c>
      <c r="H21" s="17" t="n">
        <f aca="false">IF(AND(F21="",G21=""),"",F21+G21)</f>
        <v>4</v>
      </c>
      <c r="I21" s="17" t="n">
        <v>4</v>
      </c>
      <c r="J21" s="17" t="s">
        <v>80</v>
      </c>
      <c r="K21" s="25" t="s">
        <v>81</v>
      </c>
    </row>
    <row r="22" customFormat="false" ht="15.75" hidden="false" customHeight="true" outlineLevel="0" collapsed="false">
      <c r="A22" s="19" t="n">
        <v>3</v>
      </c>
      <c r="B22" s="19" t="n">
        <v>2</v>
      </c>
      <c r="C22" s="19" t="s">
        <v>120</v>
      </c>
      <c r="D22" s="26" t="s">
        <v>121</v>
      </c>
      <c r="E22" s="19" t="s">
        <v>79</v>
      </c>
      <c r="F22" s="19" t="n">
        <v>2</v>
      </c>
      <c r="G22" s="19" t="n">
        <v>0</v>
      </c>
      <c r="H22" s="19" t="n">
        <f aca="false">IF(AND(F22="",G22=""),"",F22+G22)</f>
        <v>2</v>
      </c>
      <c r="I22" s="19" t="n">
        <v>3</v>
      </c>
      <c r="J22" s="19" t="s">
        <v>80</v>
      </c>
      <c r="K22" s="25" t="s">
        <v>81</v>
      </c>
    </row>
    <row r="23" customFormat="false" ht="15.75" hidden="false" customHeight="true" outlineLevel="0" collapsed="false">
      <c r="A23" s="17" t="n">
        <v>3</v>
      </c>
      <c r="B23" s="17" t="n">
        <v>2</v>
      </c>
      <c r="C23" s="17" t="s">
        <v>122</v>
      </c>
      <c r="D23" s="24" t="s">
        <v>123</v>
      </c>
      <c r="E23" s="17" t="s">
        <v>79</v>
      </c>
      <c r="F23" s="17" t="n">
        <v>2</v>
      </c>
      <c r="G23" s="17" t="n">
        <v>0</v>
      </c>
      <c r="H23" s="17" t="n">
        <f aca="false">IF(AND(F23="",G23=""),"",F23+G23)</f>
        <v>2</v>
      </c>
      <c r="I23" s="17" t="n">
        <v>3</v>
      </c>
      <c r="J23" s="17" t="s">
        <v>80</v>
      </c>
      <c r="K23" s="25" t="s">
        <v>81</v>
      </c>
    </row>
    <row r="24" customFormat="false" ht="15.75" hidden="false" customHeight="true" outlineLevel="0" collapsed="false">
      <c r="A24" s="19" t="n">
        <v>3</v>
      </c>
      <c r="B24" s="19" t="n">
        <v>2</v>
      </c>
      <c r="C24" s="19" t="s">
        <v>124</v>
      </c>
      <c r="D24" s="26" t="s">
        <v>125</v>
      </c>
      <c r="E24" s="19" t="s">
        <v>79</v>
      </c>
      <c r="F24" s="19" t="n">
        <v>2</v>
      </c>
      <c r="G24" s="19" t="n">
        <v>0</v>
      </c>
      <c r="H24" s="19" t="n">
        <f aca="false">IF(AND(F24="",G24=""),"",F24+G24)</f>
        <v>2</v>
      </c>
      <c r="I24" s="19" t="n">
        <v>4</v>
      </c>
      <c r="J24" s="19" t="s">
        <v>80</v>
      </c>
      <c r="K24" s="25" t="s">
        <v>81</v>
      </c>
    </row>
    <row r="25" customFormat="false" ht="15.75" hidden="false" customHeight="true" outlineLevel="0" collapsed="false">
      <c r="A25" s="17" t="n">
        <v>3</v>
      </c>
      <c r="B25" s="17" t="n">
        <v>2</v>
      </c>
      <c r="C25" s="17" t="s">
        <v>126</v>
      </c>
      <c r="D25" s="24" t="s">
        <v>127</v>
      </c>
      <c r="E25" s="17" t="s">
        <v>112</v>
      </c>
      <c r="F25" s="17" t="n">
        <v>4</v>
      </c>
      <c r="G25" s="17" t="n">
        <v>0</v>
      </c>
      <c r="H25" s="17" t="n">
        <f aca="false">IF(AND(F25="",G25=""),"",F25+G25)</f>
        <v>4</v>
      </c>
      <c r="I25" s="17" t="n">
        <v>4</v>
      </c>
      <c r="J25" s="17" t="s">
        <v>128</v>
      </c>
      <c r="K25" s="25" t="s">
        <v>81</v>
      </c>
    </row>
    <row r="26" customFormat="false" ht="15.75" hidden="false" customHeight="true" outlineLevel="0" collapsed="false">
      <c r="A26" s="19" t="n">
        <v>3</v>
      </c>
      <c r="B26" s="19" t="n">
        <v>2</v>
      </c>
      <c r="C26" s="19" t="s">
        <v>129</v>
      </c>
      <c r="D26" s="26" t="s">
        <v>130</v>
      </c>
      <c r="E26" s="19" t="s">
        <v>112</v>
      </c>
      <c r="F26" s="19" t="n">
        <v>4</v>
      </c>
      <c r="G26" s="19" t="n">
        <v>0</v>
      </c>
      <c r="H26" s="19" t="n">
        <f aca="false">IF(AND(F26="",G26=""),"",F26+G26)</f>
        <v>4</v>
      </c>
      <c r="I26" s="19" t="n">
        <v>4</v>
      </c>
      <c r="J26" s="19" t="s">
        <v>128</v>
      </c>
      <c r="K26" s="25" t="s">
        <v>81</v>
      </c>
    </row>
    <row r="27" customFormat="false" ht="15.75" hidden="false" customHeight="true" outlineLevel="0" collapsed="false">
      <c r="A27" s="17" t="n">
        <v>3</v>
      </c>
      <c r="B27" s="17" t="n">
        <v>2</v>
      </c>
      <c r="C27" s="17" t="s">
        <v>131</v>
      </c>
      <c r="D27" s="24" t="s">
        <v>132</v>
      </c>
      <c r="E27" s="17" t="s">
        <v>112</v>
      </c>
      <c r="F27" s="17" t="n">
        <v>4</v>
      </c>
      <c r="G27" s="17" t="n">
        <v>0</v>
      </c>
      <c r="H27" s="17" t="n">
        <f aca="false">IF(AND(F27="",G27=""),"",F27+G27)</f>
        <v>4</v>
      </c>
      <c r="I27" s="17" t="n">
        <v>4</v>
      </c>
      <c r="J27" s="17" t="s">
        <v>128</v>
      </c>
      <c r="K27" s="25" t="s">
        <v>81</v>
      </c>
    </row>
    <row r="28" customFormat="false" ht="15.75" hidden="false" customHeight="true" outlineLevel="0" collapsed="false">
      <c r="A28" s="19" t="n">
        <v>3</v>
      </c>
      <c r="B28" s="19" t="n">
        <v>2</v>
      </c>
      <c r="C28" s="19" t="s">
        <v>133</v>
      </c>
      <c r="D28" s="26" t="s">
        <v>134</v>
      </c>
      <c r="E28" s="19" t="s">
        <v>112</v>
      </c>
      <c r="F28" s="19" t="n">
        <v>2</v>
      </c>
      <c r="G28" s="19" t="n">
        <v>0</v>
      </c>
      <c r="H28" s="19" t="n">
        <f aca="false">IF(AND(F28="",G28=""),"",F28+G28)</f>
        <v>2</v>
      </c>
      <c r="I28" s="19" t="n">
        <v>4</v>
      </c>
      <c r="J28" s="19" t="s">
        <v>135</v>
      </c>
      <c r="K28" s="25" t="s">
        <v>81</v>
      </c>
    </row>
    <row r="29" customFormat="false" ht="15.75" hidden="false" customHeight="true" outlineLevel="0" collapsed="false">
      <c r="A29" s="17" t="n">
        <v>3</v>
      </c>
      <c r="B29" s="17" t="n">
        <v>2</v>
      </c>
      <c r="C29" s="17" t="s">
        <v>136</v>
      </c>
      <c r="D29" s="24" t="s">
        <v>137</v>
      </c>
      <c r="E29" s="17" t="s">
        <v>112</v>
      </c>
      <c r="F29" s="17" t="n">
        <v>2</v>
      </c>
      <c r="G29" s="17" t="n">
        <v>0</v>
      </c>
      <c r="H29" s="17" t="n">
        <f aca="false">IF(AND(F29="",G29=""),"",F29+G29)</f>
        <v>2</v>
      </c>
      <c r="I29" s="17" t="n">
        <v>4</v>
      </c>
      <c r="J29" s="17" t="s">
        <v>135</v>
      </c>
      <c r="K29" s="25" t="s">
        <v>81</v>
      </c>
    </row>
    <row r="30" customFormat="false" ht="15.75" hidden="false" customHeight="true" outlineLevel="0" collapsed="false">
      <c r="A30" s="19" t="n">
        <v>3</v>
      </c>
      <c r="B30" s="19" t="n">
        <v>2</v>
      </c>
      <c r="C30" s="19" t="s">
        <v>138</v>
      </c>
      <c r="D30" s="26" t="s">
        <v>139</v>
      </c>
      <c r="E30" s="19" t="s">
        <v>112</v>
      </c>
      <c r="F30" s="19" t="n">
        <v>2</v>
      </c>
      <c r="G30" s="19" t="n">
        <v>0</v>
      </c>
      <c r="H30" s="19" t="n">
        <f aca="false">IF(AND(F30="",G30=""),"",F30+G30)</f>
        <v>2</v>
      </c>
      <c r="I30" s="19" t="n">
        <v>4</v>
      </c>
      <c r="J30" s="19" t="s">
        <v>135</v>
      </c>
      <c r="K30" s="25" t="s">
        <v>81</v>
      </c>
    </row>
    <row r="31" customFormat="false" ht="15.75" hidden="false" customHeight="true" outlineLevel="0" collapsed="false">
      <c r="A31" s="17" t="n">
        <v>3</v>
      </c>
      <c r="B31" s="17" t="n">
        <v>2</v>
      </c>
      <c r="C31" s="17" t="s">
        <v>140</v>
      </c>
      <c r="D31" s="24" t="s">
        <v>141</v>
      </c>
      <c r="E31" s="17" t="s">
        <v>112</v>
      </c>
      <c r="F31" s="17" t="n">
        <v>2</v>
      </c>
      <c r="G31" s="17" t="n">
        <v>0</v>
      </c>
      <c r="H31" s="17" t="n">
        <f aca="false">IF(AND(F31="",G31=""),"",F31+G31)</f>
        <v>2</v>
      </c>
      <c r="I31" s="17" t="n">
        <v>4</v>
      </c>
      <c r="J31" s="17" t="s">
        <v>135</v>
      </c>
      <c r="K31" s="25" t="s">
        <v>81</v>
      </c>
    </row>
    <row r="32" customFormat="false" ht="15.75" hidden="false" customHeight="true" outlineLevel="0" collapsed="false">
      <c r="A32" s="19" t="n">
        <v>3</v>
      </c>
      <c r="B32" s="19" t="n">
        <v>2</v>
      </c>
      <c r="C32" s="19" t="s">
        <v>142</v>
      </c>
      <c r="D32" s="26" t="s">
        <v>143</v>
      </c>
      <c r="E32" s="19" t="s">
        <v>112</v>
      </c>
      <c r="F32" s="19" t="n">
        <v>2</v>
      </c>
      <c r="G32" s="19" t="n">
        <v>0</v>
      </c>
      <c r="H32" s="19" t="n">
        <f aca="false">IF(AND(F32="",G32=""),"",F32+G32)</f>
        <v>2</v>
      </c>
      <c r="I32" s="19" t="n">
        <v>4</v>
      </c>
      <c r="J32" s="19" t="s">
        <v>135</v>
      </c>
      <c r="K32" s="25" t="s">
        <v>81</v>
      </c>
    </row>
    <row r="33" customFormat="false" ht="15.75" hidden="false" customHeight="true" outlineLevel="0" collapsed="false">
      <c r="A33" s="17" t="n">
        <v>4</v>
      </c>
      <c r="B33" s="17" t="n">
        <v>2</v>
      </c>
      <c r="C33" s="17" t="s">
        <v>144</v>
      </c>
      <c r="D33" s="24" t="s">
        <v>145</v>
      </c>
      <c r="E33" s="17" t="s">
        <v>79</v>
      </c>
      <c r="F33" s="17" t="n">
        <v>4</v>
      </c>
      <c r="G33" s="17" t="n">
        <v>0</v>
      </c>
      <c r="H33" s="17" t="n">
        <f aca="false">IF(AND(F33="",G33=""),"",F33+G33)</f>
        <v>4</v>
      </c>
      <c r="I33" s="17" t="n">
        <v>4</v>
      </c>
      <c r="J33" s="17" t="s">
        <v>80</v>
      </c>
      <c r="K33" s="25" t="s">
        <v>81</v>
      </c>
    </row>
    <row r="34" customFormat="false" ht="15.75" hidden="false" customHeight="true" outlineLevel="0" collapsed="false">
      <c r="A34" s="19" t="n">
        <v>4</v>
      </c>
      <c r="B34" s="19" t="n">
        <v>2</v>
      </c>
      <c r="C34" s="19" t="s">
        <v>146</v>
      </c>
      <c r="D34" s="26" t="s">
        <v>147</v>
      </c>
      <c r="E34" s="19" t="s">
        <v>79</v>
      </c>
      <c r="F34" s="19" t="n">
        <v>4</v>
      </c>
      <c r="G34" s="19" t="n">
        <v>0</v>
      </c>
      <c r="H34" s="19" t="n">
        <f aca="false">IF(AND(F34="",G34=""),"",F34+G34)</f>
        <v>4</v>
      </c>
      <c r="I34" s="19" t="n">
        <v>4</v>
      </c>
      <c r="J34" s="19" t="s">
        <v>80</v>
      </c>
      <c r="K34" s="25" t="s">
        <v>81</v>
      </c>
    </row>
    <row r="35" customFormat="false" ht="15.75" hidden="false" customHeight="true" outlineLevel="0" collapsed="false">
      <c r="A35" s="17" t="n">
        <v>4</v>
      </c>
      <c r="B35" s="17" t="n">
        <v>2</v>
      </c>
      <c r="C35" s="17" t="s">
        <v>148</v>
      </c>
      <c r="D35" s="24" t="s">
        <v>149</v>
      </c>
      <c r="E35" s="17" t="s">
        <v>79</v>
      </c>
      <c r="F35" s="17" t="n">
        <v>0</v>
      </c>
      <c r="G35" s="17" t="n">
        <v>2</v>
      </c>
      <c r="H35" s="17" t="n">
        <f aca="false">IF(AND(F35="",G35=""),"",F35+G35)</f>
        <v>2</v>
      </c>
      <c r="I35" s="17" t="n">
        <v>5</v>
      </c>
      <c r="J35" s="17" t="s">
        <v>80</v>
      </c>
      <c r="K35" s="25" t="s">
        <v>81</v>
      </c>
    </row>
    <row r="36" customFormat="false" ht="15.75" hidden="false" customHeight="true" outlineLevel="0" collapsed="false">
      <c r="A36" s="19" t="n">
        <v>4</v>
      </c>
      <c r="B36" s="19" t="n">
        <v>2</v>
      </c>
      <c r="C36" s="19" t="s">
        <v>150</v>
      </c>
      <c r="D36" s="26" t="s">
        <v>151</v>
      </c>
      <c r="E36" s="19" t="s">
        <v>79</v>
      </c>
      <c r="F36" s="19" t="n">
        <v>2</v>
      </c>
      <c r="G36" s="19" t="n">
        <v>0</v>
      </c>
      <c r="H36" s="19" t="n">
        <f aca="false">IF(AND(F36="",G36=""),"",F36+G36)</f>
        <v>2</v>
      </c>
      <c r="I36" s="19" t="n">
        <v>3</v>
      </c>
      <c r="J36" s="19" t="s">
        <v>80</v>
      </c>
      <c r="K36" s="25" t="s">
        <v>81</v>
      </c>
    </row>
    <row r="37" customFormat="false" ht="15.75" hidden="false" customHeight="true" outlineLevel="0" collapsed="false">
      <c r="A37" s="17" t="n">
        <v>4</v>
      </c>
      <c r="B37" s="17" t="n">
        <v>2</v>
      </c>
      <c r="C37" s="17" t="s">
        <v>152</v>
      </c>
      <c r="D37" s="24" t="s">
        <v>153</v>
      </c>
      <c r="E37" s="17" t="s">
        <v>79</v>
      </c>
      <c r="F37" s="17" t="n">
        <v>2</v>
      </c>
      <c r="G37" s="17" t="n">
        <v>0</v>
      </c>
      <c r="H37" s="17" t="n">
        <f aca="false">IF(AND(F37="",G37=""),"",F37+G37)</f>
        <v>2</v>
      </c>
      <c r="I37" s="17" t="n">
        <v>2</v>
      </c>
      <c r="J37" s="17" t="s">
        <v>80</v>
      </c>
      <c r="K37" s="25" t="s">
        <v>81</v>
      </c>
    </row>
    <row r="38" customFormat="false" ht="15.75" hidden="false" customHeight="true" outlineLevel="0" collapsed="false">
      <c r="A38" s="19" t="n">
        <v>4</v>
      </c>
      <c r="B38" s="19" t="n">
        <v>2</v>
      </c>
      <c r="C38" s="19" t="s">
        <v>154</v>
      </c>
      <c r="D38" s="26" t="s">
        <v>155</v>
      </c>
      <c r="E38" s="19" t="s">
        <v>112</v>
      </c>
      <c r="F38" s="19" t="n">
        <v>4</v>
      </c>
      <c r="G38" s="19" t="n">
        <v>0</v>
      </c>
      <c r="H38" s="19" t="n">
        <f aca="false">IF(AND(F38="",G38=""),"",F38+G38)</f>
        <v>4</v>
      </c>
      <c r="I38" s="19" t="n">
        <v>4</v>
      </c>
      <c r="J38" s="19" t="s">
        <v>128</v>
      </c>
      <c r="K38" s="25" t="s">
        <v>81</v>
      </c>
    </row>
    <row r="39" customFormat="false" ht="15.75" hidden="false" customHeight="true" outlineLevel="0" collapsed="false">
      <c r="A39" s="17" t="n">
        <v>4</v>
      </c>
      <c r="B39" s="17" t="n">
        <v>2</v>
      </c>
      <c r="C39" s="17" t="s">
        <v>156</v>
      </c>
      <c r="D39" s="24" t="s">
        <v>157</v>
      </c>
      <c r="E39" s="17" t="s">
        <v>112</v>
      </c>
      <c r="F39" s="17" t="n">
        <v>4</v>
      </c>
      <c r="G39" s="17" t="n">
        <v>0</v>
      </c>
      <c r="H39" s="17" t="n">
        <f aca="false">IF(AND(F39="",G39=""),"",F39+G39)</f>
        <v>4</v>
      </c>
      <c r="I39" s="17" t="n">
        <v>4</v>
      </c>
      <c r="J39" s="17" t="s">
        <v>128</v>
      </c>
      <c r="K39" s="25" t="s">
        <v>81</v>
      </c>
    </row>
    <row r="40" customFormat="false" ht="15.75" hidden="false" customHeight="true" outlineLevel="0" collapsed="false">
      <c r="A40" s="19" t="n">
        <v>4</v>
      </c>
      <c r="B40" s="19" t="n">
        <v>2</v>
      </c>
      <c r="C40" s="19" t="s">
        <v>158</v>
      </c>
      <c r="D40" s="26" t="s">
        <v>159</v>
      </c>
      <c r="E40" s="19" t="s">
        <v>112</v>
      </c>
      <c r="F40" s="19" t="n">
        <v>4</v>
      </c>
      <c r="G40" s="19" t="n">
        <v>0</v>
      </c>
      <c r="H40" s="19" t="n">
        <f aca="false">IF(AND(F40="",G40=""),"",F40+G40)</f>
        <v>4</v>
      </c>
      <c r="I40" s="19" t="n">
        <v>4</v>
      </c>
      <c r="J40" s="19" t="s">
        <v>128</v>
      </c>
      <c r="K40" s="25" t="s">
        <v>81</v>
      </c>
    </row>
    <row r="41" customFormat="false" ht="15.75" hidden="false" customHeight="true" outlineLevel="0" collapsed="false">
      <c r="A41" s="17" t="n">
        <v>4</v>
      </c>
      <c r="B41" s="17" t="n">
        <v>2</v>
      </c>
      <c r="C41" s="17" t="s">
        <v>160</v>
      </c>
      <c r="D41" s="24" t="s">
        <v>161</v>
      </c>
      <c r="E41" s="17" t="s">
        <v>112</v>
      </c>
      <c r="F41" s="17" t="n">
        <v>2</v>
      </c>
      <c r="G41" s="17" t="n">
        <v>0</v>
      </c>
      <c r="H41" s="17" t="n">
        <f aca="false">IF(AND(F41="",G41=""),"",F41+G41)</f>
        <v>2</v>
      </c>
      <c r="I41" s="17" t="n">
        <v>4</v>
      </c>
      <c r="J41" s="17" t="s">
        <v>135</v>
      </c>
      <c r="K41" s="25" t="s">
        <v>81</v>
      </c>
    </row>
    <row r="42" customFormat="false" ht="15.75" hidden="false" customHeight="true" outlineLevel="0" collapsed="false">
      <c r="A42" s="19" t="n">
        <v>4</v>
      </c>
      <c r="B42" s="19" t="n">
        <v>2</v>
      </c>
      <c r="C42" s="19" t="s">
        <v>162</v>
      </c>
      <c r="D42" s="26" t="s">
        <v>163</v>
      </c>
      <c r="E42" s="19" t="s">
        <v>112</v>
      </c>
      <c r="F42" s="19" t="n">
        <v>2</v>
      </c>
      <c r="G42" s="19" t="n">
        <v>0</v>
      </c>
      <c r="H42" s="19" t="n">
        <f aca="false">IF(AND(F42="",G42=""),"",F42+G42)</f>
        <v>2</v>
      </c>
      <c r="I42" s="19" t="n">
        <v>4</v>
      </c>
      <c r="J42" s="19" t="s">
        <v>135</v>
      </c>
      <c r="K42" s="25" t="s">
        <v>81</v>
      </c>
    </row>
    <row r="43" customFormat="false" ht="15.75" hidden="false" customHeight="true" outlineLevel="0" collapsed="false">
      <c r="A43" s="17" t="n">
        <v>4</v>
      </c>
      <c r="B43" s="17" t="n">
        <v>2</v>
      </c>
      <c r="C43" s="17" t="s">
        <v>164</v>
      </c>
      <c r="D43" s="24" t="s">
        <v>165</v>
      </c>
      <c r="E43" s="17" t="s">
        <v>112</v>
      </c>
      <c r="F43" s="17" t="n">
        <v>2</v>
      </c>
      <c r="G43" s="17" t="n">
        <v>0</v>
      </c>
      <c r="H43" s="17" t="n">
        <f aca="false">IF(AND(F43="",G43=""),"",F43+G43)</f>
        <v>2</v>
      </c>
      <c r="I43" s="17" t="n">
        <v>4</v>
      </c>
      <c r="J43" s="17" t="s">
        <v>135</v>
      </c>
      <c r="K43" s="25" t="s">
        <v>81</v>
      </c>
    </row>
    <row r="44" customFormat="false" ht="15.75" hidden="false" customHeight="true" outlineLevel="0" collapsed="false">
      <c r="A44" s="19" t="n">
        <v>4</v>
      </c>
      <c r="B44" s="19" t="n">
        <v>2</v>
      </c>
      <c r="C44" s="19" t="s">
        <v>166</v>
      </c>
      <c r="D44" s="26" t="s">
        <v>167</v>
      </c>
      <c r="E44" s="19" t="s">
        <v>112</v>
      </c>
      <c r="F44" s="19" t="n">
        <v>2</v>
      </c>
      <c r="G44" s="19" t="n">
        <v>0</v>
      </c>
      <c r="H44" s="19" t="n">
        <f aca="false">IF(AND(F44="",G44=""),"",F44+G44)</f>
        <v>2</v>
      </c>
      <c r="I44" s="19" t="n">
        <v>4</v>
      </c>
      <c r="J44" s="19" t="s">
        <v>135</v>
      </c>
      <c r="K44" s="25" t="s">
        <v>81</v>
      </c>
    </row>
    <row r="45" customFormat="false" ht="15.75" hidden="false" customHeight="true" outlineLevel="0" collapsed="false">
      <c r="A45" s="17" t="n">
        <v>4</v>
      </c>
      <c r="B45" s="17" t="n">
        <v>2</v>
      </c>
      <c r="C45" s="17" t="s">
        <v>168</v>
      </c>
      <c r="D45" s="24" t="s">
        <v>169</v>
      </c>
      <c r="E45" s="17" t="s">
        <v>112</v>
      </c>
      <c r="F45" s="17" t="n">
        <v>2</v>
      </c>
      <c r="G45" s="17" t="n">
        <v>0</v>
      </c>
      <c r="H45" s="17" t="n">
        <f aca="false">IF(AND(F45="",G45=""),"",F45+G45)</f>
        <v>2</v>
      </c>
      <c r="I45" s="17" t="n">
        <v>4</v>
      </c>
      <c r="J45" s="17" t="s">
        <v>135</v>
      </c>
      <c r="K45" s="25" t="s">
        <v>81</v>
      </c>
    </row>
    <row r="46" customFormat="false" ht="15.75" hidden="false" customHeight="true" outlineLevel="0" collapsed="false">
      <c r="A46" s="19" t="n">
        <v>5</v>
      </c>
      <c r="B46" s="19" t="n">
        <v>3</v>
      </c>
      <c r="C46" s="19" t="s">
        <v>170</v>
      </c>
      <c r="D46" s="26" t="s">
        <v>171</v>
      </c>
      <c r="E46" s="19" t="s">
        <v>79</v>
      </c>
      <c r="F46" s="19" t="n">
        <v>4</v>
      </c>
      <c r="G46" s="19" t="n">
        <v>0</v>
      </c>
      <c r="H46" s="19" t="n">
        <f aca="false">IF(AND(F46="",G46=""),"",F46+G46)</f>
        <v>4</v>
      </c>
      <c r="I46" s="19" t="n">
        <v>4</v>
      </c>
      <c r="J46" s="19" t="s">
        <v>80</v>
      </c>
      <c r="K46" s="25" t="s">
        <v>81</v>
      </c>
    </row>
    <row r="47" customFormat="false" ht="15.75" hidden="false" customHeight="true" outlineLevel="0" collapsed="false">
      <c r="A47" s="17" t="n">
        <v>5</v>
      </c>
      <c r="B47" s="17" t="n">
        <v>3</v>
      </c>
      <c r="C47" s="17" t="s">
        <v>172</v>
      </c>
      <c r="D47" s="24" t="s">
        <v>173</v>
      </c>
      <c r="E47" s="17" t="s">
        <v>79</v>
      </c>
      <c r="F47" s="17" t="n">
        <v>2</v>
      </c>
      <c r="G47" s="17" t="n">
        <v>0</v>
      </c>
      <c r="H47" s="17" t="n">
        <f aca="false">IF(AND(F47="",G47=""),"",F47+G47)</f>
        <v>2</v>
      </c>
      <c r="I47" s="17" t="n">
        <v>5</v>
      </c>
      <c r="J47" s="17" t="s">
        <v>80</v>
      </c>
      <c r="K47" s="25" t="s">
        <v>81</v>
      </c>
    </row>
    <row r="48" customFormat="false" ht="15.75" hidden="false" customHeight="true" outlineLevel="0" collapsed="false">
      <c r="A48" s="19" t="n">
        <v>5</v>
      </c>
      <c r="B48" s="19" t="n">
        <v>3</v>
      </c>
      <c r="C48" s="19" t="s">
        <v>174</v>
      </c>
      <c r="D48" s="26" t="s">
        <v>175</v>
      </c>
      <c r="E48" s="19" t="s">
        <v>79</v>
      </c>
      <c r="F48" s="19" t="n">
        <v>2</v>
      </c>
      <c r="G48" s="19" t="n">
        <v>0</v>
      </c>
      <c r="H48" s="19" t="n">
        <f aca="false">IF(AND(F48="",G48=""),"",F48+G48)</f>
        <v>2</v>
      </c>
      <c r="I48" s="19" t="n">
        <v>4</v>
      </c>
      <c r="J48" s="19" t="s">
        <v>80</v>
      </c>
      <c r="K48" s="25" t="s">
        <v>81</v>
      </c>
    </row>
    <row r="49" customFormat="false" ht="15.75" hidden="false" customHeight="true" outlineLevel="0" collapsed="false">
      <c r="A49" s="17" t="n">
        <v>5</v>
      </c>
      <c r="B49" s="17" t="n">
        <v>3</v>
      </c>
      <c r="C49" s="17" t="s">
        <v>176</v>
      </c>
      <c r="D49" s="24" t="s">
        <v>177</v>
      </c>
      <c r="E49" s="17" t="s">
        <v>79</v>
      </c>
      <c r="F49" s="17" t="n">
        <v>2</v>
      </c>
      <c r="G49" s="17" t="n">
        <v>0</v>
      </c>
      <c r="H49" s="17" t="n">
        <f aca="false">IF(AND(F49="",G49=""),"",F49+G49)</f>
        <v>2</v>
      </c>
      <c r="I49" s="17" t="n">
        <v>5</v>
      </c>
      <c r="J49" s="17" t="s">
        <v>80</v>
      </c>
      <c r="K49" s="25" t="s">
        <v>81</v>
      </c>
    </row>
    <row r="50" customFormat="false" ht="15.75" hidden="false" customHeight="true" outlineLevel="0" collapsed="false">
      <c r="A50" s="19" t="n">
        <v>5</v>
      </c>
      <c r="B50" s="19" t="n">
        <v>3</v>
      </c>
      <c r="C50" s="19" t="s">
        <v>178</v>
      </c>
      <c r="D50" s="26" t="s">
        <v>179</v>
      </c>
      <c r="E50" s="19" t="s">
        <v>79</v>
      </c>
      <c r="F50" s="19" t="n">
        <v>2</v>
      </c>
      <c r="G50" s="19" t="n">
        <v>0</v>
      </c>
      <c r="H50" s="19" t="n">
        <f aca="false">IF(AND(F50="",G50=""),"",F50+G50)</f>
        <v>2</v>
      </c>
      <c r="I50" s="19" t="n">
        <v>3</v>
      </c>
      <c r="J50" s="19" t="s">
        <v>80</v>
      </c>
      <c r="K50" s="25" t="s">
        <v>81</v>
      </c>
    </row>
    <row r="51" customFormat="false" ht="15.75" hidden="false" customHeight="true" outlineLevel="0" collapsed="false">
      <c r="A51" s="17" t="n">
        <v>5</v>
      </c>
      <c r="B51" s="17" t="n">
        <v>3</v>
      </c>
      <c r="C51" s="17" t="s">
        <v>180</v>
      </c>
      <c r="D51" s="24" t="s">
        <v>181</v>
      </c>
      <c r="E51" s="17" t="s">
        <v>112</v>
      </c>
      <c r="F51" s="17" t="n">
        <v>4</v>
      </c>
      <c r="G51" s="17" t="n">
        <v>0</v>
      </c>
      <c r="H51" s="17" t="n">
        <f aca="false">IF(AND(F51="",G51=""),"",F51+G51)</f>
        <v>4</v>
      </c>
      <c r="I51" s="17" t="n">
        <v>4</v>
      </c>
      <c r="J51" s="17" t="s">
        <v>128</v>
      </c>
      <c r="K51" s="25" t="s">
        <v>81</v>
      </c>
    </row>
    <row r="52" customFormat="false" ht="15.75" hidden="false" customHeight="true" outlineLevel="0" collapsed="false">
      <c r="A52" s="19" t="n">
        <v>5</v>
      </c>
      <c r="B52" s="19" t="n">
        <v>3</v>
      </c>
      <c r="C52" s="19" t="s">
        <v>182</v>
      </c>
      <c r="D52" s="26" t="s">
        <v>183</v>
      </c>
      <c r="E52" s="19" t="s">
        <v>112</v>
      </c>
      <c r="F52" s="19" t="n">
        <v>4</v>
      </c>
      <c r="G52" s="19" t="n">
        <v>0</v>
      </c>
      <c r="H52" s="19" t="n">
        <f aca="false">IF(AND(F52="",G52=""),"",F52+G52)</f>
        <v>4</v>
      </c>
      <c r="I52" s="19" t="n">
        <v>4</v>
      </c>
      <c r="J52" s="19" t="s">
        <v>128</v>
      </c>
      <c r="K52" s="25" t="s">
        <v>81</v>
      </c>
    </row>
    <row r="53" customFormat="false" ht="15.75" hidden="false" customHeight="true" outlineLevel="0" collapsed="false">
      <c r="A53" s="17" t="n">
        <v>5</v>
      </c>
      <c r="B53" s="17" t="n">
        <v>3</v>
      </c>
      <c r="C53" s="17" t="s">
        <v>184</v>
      </c>
      <c r="D53" s="24" t="s">
        <v>185</v>
      </c>
      <c r="E53" s="17" t="s">
        <v>112</v>
      </c>
      <c r="F53" s="17" t="n">
        <v>4</v>
      </c>
      <c r="G53" s="17" t="n">
        <v>0</v>
      </c>
      <c r="H53" s="17" t="n">
        <f aca="false">IF(AND(F53="",G53=""),"",F53+G53)</f>
        <v>4</v>
      </c>
      <c r="I53" s="17" t="n">
        <v>4</v>
      </c>
      <c r="J53" s="17" t="s">
        <v>128</v>
      </c>
      <c r="K53" s="25" t="s">
        <v>81</v>
      </c>
    </row>
    <row r="54" customFormat="false" ht="15.75" hidden="false" customHeight="true" outlineLevel="0" collapsed="false">
      <c r="A54" s="19" t="n">
        <v>5</v>
      </c>
      <c r="B54" s="19" t="n">
        <v>3</v>
      </c>
      <c r="C54" s="19" t="s">
        <v>186</v>
      </c>
      <c r="D54" s="26" t="s">
        <v>187</v>
      </c>
      <c r="E54" s="19" t="s">
        <v>112</v>
      </c>
      <c r="F54" s="19" t="n">
        <v>2</v>
      </c>
      <c r="G54" s="19" t="n">
        <v>0</v>
      </c>
      <c r="H54" s="19" t="n">
        <f aca="false">IF(AND(F54="",G54=""),"",F54+G54)</f>
        <v>2</v>
      </c>
      <c r="I54" s="19" t="n">
        <v>4</v>
      </c>
      <c r="J54" s="19" t="s">
        <v>135</v>
      </c>
      <c r="K54" s="25" t="s">
        <v>81</v>
      </c>
    </row>
    <row r="55" customFormat="false" ht="15.75" hidden="false" customHeight="true" outlineLevel="0" collapsed="false">
      <c r="A55" s="17" t="n">
        <v>5</v>
      </c>
      <c r="B55" s="17" t="n">
        <v>3</v>
      </c>
      <c r="C55" s="17" t="s">
        <v>188</v>
      </c>
      <c r="D55" s="24" t="s">
        <v>189</v>
      </c>
      <c r="E55" s="17" t="s">
        <v>112</v>
      </c>
      <c r="F55" s="17" t="n">
        <v>2</v>
      </c>
      <c r="G55" s="17" t="n">
        <v>0</v>
      </c>
      <c r="H55" s="17" t="n">
        <f aca="false">IF(AND(F55="",G55=""),"",F55+G55)</f>
        <v>2</v>
      </c>
      <c r="I55" s="17" t="n">
        <v>4</v>
      </c>
      <c r="J55" s="17" t="s">
        <v>135</v>
      </c>
      <c r="K55" s="25" t="s">
        <v>81</v>
      </c>
    </row>
    <row r="56" customFormat="false" ht="15.75" hidden="false" customHeight="true" outlineLevel="0" collapsed="false">
      <c r="A56" s="19" t="n">
        <v>5</v>
      </c>
      <c r="B56" s="19" t="n">
        <v>3</v>
      </c>
      <c r="C56" s="19" t="s">
        <v>190</v>
      </c>
      <c r="D56" s="26" t="s">
        <v>191</v>
      </c>
      <c r="E56" s="19" t="s">
        <v>112</v>
      </c>
      <c r="F56" s="19" t="n">
        <v>2</v>
      </c>
      <c r="G56" s="19" t="n">
        <v>0</v>
      </c>
      <c r="H56" s="19" t="n">
        <f aca="false">IF(AND(F56="",G56=""),"",F56+G56)</f>
        <v>2</v>
      </c>
      <c r="I56" s="19" t="n">
        <v>3</v>
      </c>
      <c r="J56" s="19" t="s">
        <v>192</v>
      </c>
      <c r="K56" s="25" t="s">
        <v>81</v>
      </c>
    </row>
    <row r="57" customFormat="false" ht="15.75" hidden="false" customHeight="true" outlineLevel="0" collapsed="false">
      <c r="A57" s="17" t="n">
        <v>5</v>
      </c>
      <c r="B57" s="17" t="n">
        <v>3</v>
      </c>
      <c r="C57" s="17" t="s">
        <v>193</v>
      </c>
      <c r="D57" s="24" t="s">
        <v>194</v>
      </c>
      <c r="E57" s="17" t="s">
        <v>112</v>
      </c>
      <c r="F57" s="17" t="n">
        <v>3</v>
      </c>
      <c r="G57" s="17" t="n">
        <v>0</v>
      </c>
      <c r="H57" s="17" t="n">
        <f aca="false">IF(AND(F57="",G57=""),"",F57+G57)</f>
        <v>3</v>
      </c>
      <c r="I57" s="17" t="n">
        <v>4</v>
      </c>
      <c r="J57" s="17" t="s">
        <v>195</v>
      </c>
      <c r="K57" s="25" t="s">
        <v>81</v>
      </c>
    </row>
    <row r="58" customFormat="false" ht="15.75" hidden="false" customHeight="true" outlineLevel="0" collapsed="false">
      <c r="A58" s="19" t="n">
        <v>5</v>
      </c>
      <c r="B58" s="19" t="n">
        <v>3</v>
      </c>
      <c r="C58" s="19" t="s">
        <v>196</v>
      </c>
      <c r="D58" s="26" t="s">
        <v>197</v>
      </c>
      <c r="E58" s="19" t="s">
        <v>112</v>
      </c>
      <c r="F58" s="19" t="n">
        <v>3</v>
      </c>
      <c r="G58" s="19" t="n">
        <v>0</v>
      </c>
      <c r="H58" s="19" t="n">
        <f aca="false">IF(AND(F58="",G58=""),"",F58+G58)</f>
        <v>3</v>
      </c>
      <c r="I58" s="19" t="n">
        <v>4</v>
      </c>
      <c r="J58" s="19" t="s">
        <v>195</v>
      </c>
      <c r="K58" s="25" t="s">
        <v>81</v>
      </c>
    </row>
    <row r="59" customFormat="false" ht="15.75" hidden="false" customHeight="true" outlineLevel="0" collapsed="false">
      <c r="A59" s="17" t="n">
        <v>5</v>
      </c>
      <c r="B59" s="17" t="n">
        <v>3</v>
      </c>
      <c r="C59" s="17" t="s">
        <v>198</v>
      </c>
      <c r="D59" s="24" t="s">
        <v>199</v>
      </c>
      <c r="E59" s="17" t="s">
        <v>112</v>
      </c>
      <c r="F59" s="17" t="n">
        <v>3</v>
      </c>
      <c r="G59" s="17" t="n">
        <v>0</v>
      </c>
      <c r="H59" s="17" t="n">
        <f aca="false">IF(AND(F59="",G59=""),"",F59+G59)</f>
        <v>3</v>
      </c>
      <c r="I59" s="17" t="n">
        <v>4</v>
      </c>
      <c r="J59" s="17" t="s">
        <v>195</v>
      </c>
      <c r="K59" s="25" t="s">
        <v>81</v>
      </c>
    </row>
    <row r="60" customFormat="false" ht="15.75" hidden="false" customHeight="true" outlineLevel="0" collapsed="false">
      <c r="A60" s="19" t="n">
        <v>6</v>
      </c>
      <c r="B60" s="19" t="n">
        <v>3</v>
      </c>
      <c r="C60" s="19" t="s">
        <v>200</v>
      </c>
      <c r="D60" s="26" t="s">
        <v>201</v>
      </c>
      <c r="E60" s="19" t="s">
        <v>79</v>
      </c>
      <c r="F60" s="19" t="n">
        <v>4</v>
      </c>
      <c r="G60" s="19" t="n">
        <v>0</v>
      </c>
      <c r="H60" s="19" t="n">
        <f aca="false">IF(AND(F60="",G60=""),"",F60+G60)</f>
        <v>4</v>
      </c>
      <c r="I60" s="19" t="n">
        <v>4</v>
      </c>
      <c r="J60" s="19" t="s">
        <v>80</v>
      </c>
      <c r="K60" s="25" t="s">
        <v>81</v>
      </c>
    </row>
    <row r="61" customFormat="false" ht="15.75" hidden="false" customHeight="true" outlineLevel="0" collapsed="false">
      <c r="A61" s="17" t="n">
        <v>6</v>
      </c>
      <c r="B61" s="17" t="n">
        <v>3</v>
      </c>
      <c r="C61" s="17" t="s">
        <v>202</v>
      </c>
      <c r="D61" s="24" t="s">
        <v>203</v>
      </c>
      <c r="E61" s="17" t="s">
        <v>79</v>
      </c>
      <c r="F61" s="17" t="n">
        <v>2</v>
      </c>
      <c r="G61" s="17" t="n">
        <v>0</v>
      </c>
      <c r="H61" s="17" t="n">
        <f aca="false">IF(AND(F61="",G61=""),"",F61+G61)</f>
        <v>2</v>
      </c>
      <c r="I61" s="17" t="n">
        <v>4</v>
      </c>
      <c r="J61" s="17" t="s">
        <v>80</v>
      </c>
      <c r="K61" s="25" t="s">
        <v>81</v>
      </c>
    </row>
    <row r="62" customFormat="false" ht="15.75" hidden="false" customHeight="true" outlineLevel="0" collapsed="false">
      <c r="A62" s="19" t="n">
        <v>6</v>
      </c>
      <c r="B62" s="19" t="n">
        <v>3</v>
      </c>
      <c r="C62" s="19" t="s">
        <v>204</v>
      </c>
      <c r="D62" s="26" t="s">
        <v>205</v>
      </c>
      <c r="E62" s="19" t="s">
        <v>79</v>
      </c>
      <c r="F62" s="19" t="n">
        <v>2</v>
      </c>
      <c r="G62" s="19" t="n">
        <v>0</v>
      </c>
      <c r="H62" s="19" t="n">
        <f aca="false">IF(AND(F62="",G62=""),"",F62+G62)</f>
        <v>2</v>
      </c>
      <c r="I62" s="19" t="n">
        <v>5</v>
      </c>
      <c r="J62" s="19" t="s">
        <v>80</v>
      </c>
      <c r="K62" s="25" t="s">
        <v>81</v>
      </c>
    </row>
    <row r="63" customFormat="false" ht="15.75" hidden="false" customHeight="true" outlineLevel="0" collapsed="false">
      <c r="A63" s="17" t="n">
        <v>6</v>
      </c>
      <c r="B63" s="17" t="n">
        <v>3</v>
      </c>
      <c r="C63" s="17" t="s">
        <v>206</v>
      </c>
      <c r="D63" s="24" t="s">
        <v>207</v>
      </c>
      <c r="E63" s="17" t="s">
        <v>79</v>
      </c>
      <c r="F63" s="17" t="n">
        <v>2</v>
      </c>
      <c r="G63" s="17" t="n">
        <v>0</v>
      </c>
      <c r="H63" s="17" t="n">
        <f aca="false">IF(AND(F63="",G63=""),"",F63+G63)</f>
        <v>2</v>
      </c>
      <c r="I63" s="17" t="n">
        <v>5</v>
      </c>
      <c r="J63" s="17" t="s">
        <v>80</v>
      </c>
      <c r="K63" s="25" t="s">
        <v>81</v>
      </c>
    </row>
    <row r="64" customFormat="false" ht="15.75" hidden="false" customHeight="true" outlineLevel="0" collapsed="false">
      <c r="A64" s="19" t="n">
        <v>6</v>
      </c>
      <c r="B64" s="19" t="n">
        <v>3</v>
      </c>
      <c r="C64" s="19" t="s">
        <v>208</v>
      </c>
      <c r="D64" s="26" t="s">
        <v>209</v>
      </c>
      <c r="E64" s="19" t="s">
        <v>79</v>
      </c>
      <c r="F64" s="19" t="n">
        <v>2</v>
      </c>
      <c r="G64" s="19" t="n">
        <v>0</v>
      </c>
      <c r="H64" s="19" t="n">
        <f aca="false">IF(AND(F64="",G64=""),"",F64+G64)</f>
        <v>2</v>
      </c>
      <c r="I64" s="19" t="n">
        <v>3</v>
      </c>
      <c r="J64" s="19" t="s">
        <v>80</v>
      </c>
      <c r="K64" s="25" t="s">
        <v>81</v>
      </c>
    </row>
    <row r="65" customFormat="false" ht="15.75" hidden="false" customHeight="true" outlineLevel="0" collapsed="false">
      <c r="A65" s="17" t="n">
        <v>6</v>
      </c>
      <c r="B65" s="17" t="n">
        <v>3</v>
      </c>
      <c r="C65" s="17" t="s">
        <v>210</v>
      </c>
      <c r="D65" s="24" t="s">
        <v>211</v>
      </c>
      <c r="E65" s="17" t="s">
        <v>112</v>
      </c>
      <c r="F65" s="17" t="n">
        <v>4</v>
      </c>
      <c r="G65" s="17" t="n">
        <v>0</v>
      </c>
      <c r="H65" s="17" t="n">
        <f aca="false">IF(AND(F65="",G65=""),"",F65+G65)</f>
        <v>4</v>
      </c>
      <c r="I65" s="17" t="n">
        <v>4</v>
      </c>
      <c r="J65" s="17" t="s">
        <v>128</v>
      </c>
      <c r="K65" s="25" t="s">
        <v>81</v>
      </c>
    </row>
    <row r="66" customFormat="false" ht="15.75" hidden="false" customHeight="true" outlineLevel="0" collapsed="false">
      <c r="A66" s="19" t="n">
        <v>6</v>
      </c>
      <c r="B66" s="19" t="n">
        <v>3</v>
      </c>
      <c r="C66" s="19" t="s">
        <v>212</v>
      </c>
      <c r="D66" s="26" t="s">
        <v>213</v>
      </c>
      <c r="E66" s="19" t="s">
        <v>112</v>
      </c>
      <c r="F66" s="19" t="n">
        <v>4</v>
      </c>
      <c r="G66" s="19" t="n">
        <v>0</v>
      </c>
      <c r="H66" s="19" t="n">
        <f aca="false">IF(AND(F66="",G66=""),"",F66+G66)</f>
        <v>4</v>
      </c>
      <c r="I66" s="19" t="n">
        <v>4</v>
      </c>
      <c r="J66" s="19" t="s">
        <v>128</v>
      </c>
      <c r="K66" s="25" t="s">
        <v>81</v>
      </c>
    </row>
    <row r="67" customFormat="false" ht="15.75" hidden="false" customHeight="true" outlineLevel="0" collapsed="false">
      <c r="A67" s="17" t="n">
        <v>6</v>
      </c>
      <c r="B67" s="17" t="n">
        <v>3</v>
      </c>
      <c r="C67" s="17" t="s">
        <v>214</v>
      </c>
      <c r="D67" s="24" t="s">
        <v>215</v>
      </c>
      <c r="E67" s="17" t="s">
        <v>112</v>
      </c>
      <c r="F67" s="17" t="n">
        <v>4</v>
      </c>
      <c r="G67" s="17" t="n">
        <v>0</v>
      </c>
      <c r="H67" s="17" t="n">
        <f aca="false">IF(AND(F67="",G67=""),"",F67+G67)</f>
        <v>4</v>
      </c>
      <c r="I67" s="17" t="n">
        <v>4</v>
      </c>
      <c r="J67" s="17" t="s">
        <v>128</v>
      </c>
      <c r="K67" s="25" t="s">
        <v>81</v>
      </c>
    </row>
    <row r="68" customFormat="false" ht="15.75" hidden="false" customHeight="true" outlineLevel="0" collapsed="false">
      <c r="A68" s="19" t="n">
        <v>6</v>
      </c>
      <c r="B68" s="19" t="n">
        <v>3</v>
      </c>
      <c r="C68" s="19" t="s">
        <v>216</v>
      </c>
      <c r="D68" s="26" t="s">
        <v>217</v>
      </c>
      <c r="E68" s="19" t="s">
        <v>112</v>
      </c>
      <c r="F68" s="19" t="n">
        <v>2</v>
      </c>
      <c r="G68" s="19" t="n">
        <v>0</v>
      </c>
      <c r="H68" s="19" t="n">
        <f aca="false">IF(AND(F68="",G68=""),"",F68+G68)</f>
        <v>2</v>
      </c>
      <c r="I68" s="19" t="n">
        <v>2</v>
      </c>
      <c r="J68" s="19" t="s">
        <v>135</v>
      </c>
      <c r="K68" s="25" t="s">
        <v>81</v>
      </c>
    </row>
    <row r="69" customFormat="false" ht="15.75" hidden="false" customHeight="true" outlineLevel="0" collapsed="false">
      <c r="A69" s="17" t="n">
        <v>6</v>
      </c>
      <c r="B69" s="17" t="n">
        <v>3</v>
      </c>
      <c r="C69" s="17" t="s">
        <v>218</v>
      </c>
      <c r="D69" s="24" t="s">
        <v>219</v>
      </c>
      <c r="E69" s="17" t="s">
        <v>112</v>
      </c>
      <c r="F69" s="17" t="n">
        <v>2</v>
      </c>
      <c r="G69" s="17" t="n">
        <v>0</v>
      </c>
      <c r="H69" s="17" t="n">
        <f aca="false">IF(AND(F69="",G69=""),"",F69+G69)</f>
        <v>2</v>
      </c>
      <c r="I69" s="17" t="n">
        <v>2</v>
      </c>
      <c r="J69" s="17" t="s">
        <v>135</v>
      </c>
      <c r="K69" s="25" t="s">
        <v>81</v>
      </c>
    </row>
    <row r="70" customFormat="false" ht="15.75" hidden="false" customHeight="true" outlineLevel="0" collapsed="false">
      <c r="A70" s="19" t="n">
        <v>6</v>
      </c>
      <c r="B70" s="19" t="n">
        <v>3</v>
      </c>
      <c r="C70" s="19" t="s">
        <v>220</v>
      </c>
      <c r="D70" s="26" t="s">
        <v>191</v>
      </c>
      <c r="E70" s="19" t="s">
        <v>112</v>
      </c>
      <c r="F70" s="19" t="n">
        <v>2</v>
      </c>
      <c r="G70" s="19" t="n">
        <v>0</v>
      </c>
      <c r="H70" s="19" t="n">
        <f aca="false">IF(AND(F70="",G70=""),"",F70+G70)</f>
        <v>2</v>
      </c>
      <c r="I70" s="19" t="n">
        <v>3</v>
      </c>
      <c r="J70" s="19" t="s">
        <v>192</v>
      </c>
      <c r="K70" s="25" t="s">
        <v>81</v>
      </c>
    </row>
    <row r="71" customFormat="false" ht="15.75" hidden="false" customHeight="true" outlineLevel="0" collapsed="false">
      <c r="A71" s="17" t="n">
        <v>6</v>
      </c>
      <c r="B71" s="17" t="n">
        <v>3</v>
      </c>
      <c r="C71" s="17" t="s">
        <v>221</v>
      </c>
      <c r="D71" s="24" t="s">
        <v>222</v>
      </c>
      <c r="E71" s="17" t="s">
        <v>112</v>
      </c>
      <c r="F71" s="17" t="n">
        <v>3</v>
      </c>
      <c r="G71" s="17" t="n">
        <v>0</v>
      </c>
      <c r="H71" s="17" t="n">
        <f aca="false">IF(AND(F71="",G71=""),"",F71+G71)</f>
        <v>3</v>
      </c>
      <c r="I71" s="17" t="n">
        <v>4</v>
      </c>
      <c r="J71" s="17" t="s">
        <v>195</v>
      </c>
      <c r="K71" s="25" t="s">
        <v>81</v>
      </c>
    </row>
    <row r="72" customFormat="false" ht="15.75" hidden="false" customHeight="true" outlineLevel="0" collapsed="false">
      <c r="A72" s="19" t="n">
        <v>6</v>
      </c>
      <c r="B72" s="19" t="n">
        <v>3</v>
      </c>
      <c r="C72" s="19" t="s">
        <v>223</v>
      </c>
      <c r="D72" s="26" t="s">
        <v>224</v>
      </c>
      <c r="E72" s="19" t="s">
        <v>112</v>
      </c>
      <c r="F72" s="19" t="n">
        <v>3</v>
      </c>
      <c r="G72" s="19" t="n">
        <v>0</v>
      </c>
      <c r="H72" s="19" t="n">
        <f aca="false">IF(AND(F72="",G72=""),"",F72+G72)</f>
        <v>3</v>
      </c>
      <c r="I72" s="19" t="n">
        <v>4</v>
      </c>
      <c r="J72" s="19" t="s">
        <v>195</v>
      </c>
      <c r="K72" s="25" t="s">
        <v>81</v>
      </c>
    </row>
    <row r="73" customFormat="false" ht="15.75" hidden="false" customHeight="true" outlineLevel="0" collapsed="false">
      <c r="A73" s="17" t="n">
        <v>6</v>
      </c>
      <c r="B73" s="17" t="n">
        <v>3</v>
      </c>
      <c r="C73" s="17" t="s">
        <v>225</v>
      </c>
      <c r="D73" s="24" t="s">
        <v>226</v>
      </c>
      <c r="E73" s="17" t="s">
        <v>112</v>
      </c>
      <c r="F73" s="17" t="n">
        <v>2</v>
      </c>
      <c r="G73" s="17" t="n">
        <v>0</v>
      </c>
      <c r="H73" s="17" t="n">
        <f aca="false">IF(AND(F73="",G73=""),"",F73+G73)</f>
        <v>2</v>
      </c>
      <c r="I73" s="17" t="n">
        <v>3</v>
      </c>
      <c r="J73" s="17" t="s">
        <v>195</v>
      </c>
      <c r="K73" s="25" t="s">
        <v>81</v>
      </c>
    </row>
    <row r="74" customFormat="false" ht="15.75" hidden="false" customHeight="true" outlineLevel="0" collapsed="false">
      <c r="A74" s="19" t="n">
        <v>7</v>
      </c>
      <c r="B74" s="19" t="n">
        <v>4</v>
      </c>
      <c r="C74" s="19" t="s">
        <v>227</v>
      </c>
      <c r="D74" s="26" t="s">
        <v>228</v>
      </c>
      <c r="E74" s="19" t="s">
        <v>112</v>
      </c>
      <c r="F74" s="19" t="n">
        <v>4</v>
      </c>
      <c r="G74" s="19" t="n">
        <v>0</v>
      </c>
      <c r="H74" s="19" t="n">
        <f aca="false">IF(AND(F74="",G74=""),"",F74+G74)</f>
        <v>4</v>
      </c>
      <c r="I74" s="19" t="n">
        <v>4</v>
      </c>
      <c r="J74" s="19" t="s">
        <v>80</v>
      </c>
      <c r="K74" s="25" t="s">
        <v>81</v>
      </c>
    </row>
    <row r="75" customFormat="false" ht="15.75" hidden="false" customHeight="true" outlineLevel="0" collapsed="false">
      <c r="A75" s="17" t="n">
        <v>7</v>
      </c>
      <c r="B75" s="17" t="n">
        <v>4</v>
      </c>
      <c r="C75" s="17" t="s">
        <v>229</v>
      </c>
      <c r="D75" s="24" t="s">
        <v>230</v>
      </c>
      <c r="E75" s="17" t="s">
        <v>112</v>
      </c>
      <c r="F75" s="17" t="n">
        <v>2</v>
      </c>
      <c r="G75" s="17" t="n">
        <v>0</v>
      </c>
      <c r="H75" s="17" t="n">
        <f aca="false">IF(AND(F75="",G75=""),"",F75+G75)</f>
        <v>2</v>
      </c>
      <c r="I75" s="17" t="n">
        <v>5</v>
      </c>
      <c r="J75" s="17" t="s">
        <v>80</v>
      </c>
      <c r="K75" s="25" t="s">
        <v>81</v>
      </c>
    </row>
    <row r="76" customFormat="false" ht="15.75" hidden="false" customHeight="true" outlineLevel="0" collapsed="false">
      <c r="A76" s="19" t="n">
        <v>7</v>
      </c>
      <c r="B76" s="19" t="n">
        <v>4</v>
      </c>
      <c r="C76" s="19" t="s">
        <v>231</v>
      </c>
      <c r="D76" s="26" t="s">
        <v>232</v>
      </c>
      <c r="E76" s="19" t="s">
        <v>112</v>
      </c>
      <c r="F76" s="19" t="n">
        <v>2</v>
      </c>
      <c r="G76" s="19" t="n">
        <v>0</v>
      </c>
      <c r="H76" s="19" t="n">
        <f aca="false">IF(AND(F76="",G76=""),"",F76+G76)</f>
        <v>2</v>
      </c>
      <c r="I76" s="19" t="n">
        <v>5</v>
      </c>
      <c r="J76" s="19" t="s">
        <v>80</v>
      </c>
      <c r="K76" s="25" t="s">
        <v>81</v>
      </c>
    </row>
    <row r="77" customFormat="false" ht="15.75" hidden="false" customHeight="true" outlineLevel="0" collapsed="false">
      <c r="A77" s="17" t="n">
        <v>7</v>
      </c>
      <c r="B77" s="17" t="n">
        <v>4</v>
      </c>
      <c r="C77" s="17" t="s">
        <v>233</v>
      </c>
      <c r="D77" s="24" t="s">
        <v>234</v>
      </c>
      <c r="E77" s="17" t="s">
        <v>112</v>
      </c>
      <c r="F77" s="17" t="n">
        <v>4</v>
      </c>
      <c r="G77" s="17" t="n">
        <v>0</v>
      </c>
      <c r="H77" s="17" t="n">
        <f aca="false">IF(AND(F77="",G77=""),"",F77+G77)</f>
        <v>4</v>
      </c>
      <c r="I77" s="17" t="n">
        <v>4</v>
      </c>
      <c r="J77" s="17" t="s">
        <v>128</v>
      </c>
      <c r="K77" s="25" t="s">
        <v>81</v>
      </c>
    </row>
    <row r="78" customFormat="false" ht="15.75" hidden="false" customHeight="true" outlineLevel="0" collapsed="false">
      <c r="A78" s="19" t="n">
        <v>7</v>
      </c>
      <c r="B78" s="19" t="n">
        <v>4</v>
      </c>
      <c r="C78" s="19" t="s">
        <v>235</v>
      </c>
      <c r="D78" s="26" t="s">
        <v>236</v>
      </c>
      <c r="E78" s="19" t="s">
        <v>112</v>
      </c>
      <c r="F78" s="19" t="n">
        <v>4</v>
      </c>
      <c r="G78" s="19" t="n">
        <v>0</v>
      </c>
      <c r="H78" s="19" t="n">
        <f aca="false">IF(AND(F78="",G78=""),"",F78+G78)</f>
        <v>4</v>
      </c>
      <c r="I78" s="19" t="n">
        <v>4</v>
      </c>
      <c r="J78" s="19" t="s">
        <v>128</v>
      </c>
      <c r="K78" s="25" t="s">
        <v>81</v>
      </c>
    </row>
    <row r="79" customFormat="false" ht="15.75" hidden="false" customHeight="true" outlineLevel="0" collapsed="false">
      <c r="A79" s="17" t="n">
        <v>7</v>
      </c>
      <c r="B79" s="17" t="n">
        <v>4</v>
      </c>
      <c r="C79" s="17" t="s">
        <v>237</v>
      </c>
      <c r="D79" s="24" t="s">
        <v>238</v>
      </c>
      <c r="E79" s="17" t="s">
        <v>112</v>
      </c>
      <c r="F79" s="17" t="n">
        <v>4</v>
      </c>
      <c r="G79" s="17" t="n">
        <v>0</v>
      </c>
      <c r="H79" s="17" t="n">
        <f aca="false">IF(AND(F79="",G79=""),"",F79+G79)</f>
        <v>4</v>
      </c>
      <c r="I79" s="17" t="n">
        <v>4</v>
      </c>
      <c r="J79" s="17" t="s">
        <v>128</v>
      </c>
      <c r="K79" s="25" t="s">
        <v>81</v>
      </c>
    </row>
    <row r="80" customFormat="false" ht="15.75" hidden="false" customHeight="true" outlineLevel="0" collapsed="false">
      <c r="A80" s="19" t="n">
        <v>7</v>
      </c>
      <c r="B80" s="19" t="n">
        <v>4</v>
      </c>
      <c r="C80" s="19" t="s">
        <v>239</v>
      </c>
      <c r="D80" s="26" t="s">
        <v>240</v>
      </c>
      <c r="E80" s="19" t="s">
        <v>112</v>
      </c>
      <c r="F80" s="19" t="n">
        <v>2</v>
      </c>
      <c r="G80" s="19" t="n">
        <v>0</v>
      </c>
      <c r="H80" s="19" t="n">
        <f aca="false">IF(AND(F80="",G80=""),"",F80+G80)</f>
        <v>2</v>
      </c>
      <c r="I80" s="19" t="n">
        <v>4</v>
      </c>
      <c r="J80" s="19" t="s">
        <v>135</v>
      </c>
      <c r="K80" s="25" t="s">
        <v>81</v>
      </c>
    </row>
    <row r="81" customFormat="false" ht="15.75" hidden="false" customHeight="true" outlineLevel="0" collapsed="false">
      <c r="A81" s="17" t="n">
        <v>7</v>
      </c>
      <c r="B81" s="17" t="n">
        <v>4</v>
      </c>
      <c r="C81" s="17" t="s">
        <v>241</v>
      </c>
      <c r="D81" s="24" t="s">
        <v>242</v>
      </c>
      <c r="E81" s="17" t="s">
        <v>112</v>
      </c>
      <c r="F81" s="17" t="n">
        <v>2</v>
      </c>
      <c r="G81" s="17" t="n">
        <v>0</v>
      </c>
      <c r="H81" s="17" t="n">
        <f aca="false">IF(AND(F81="",G81=""),"",F81+G81)</f>
        <v>2</v>
      </c>
      <c r="I81" s="17" t="n">
        <v>4</v>
      </c>
      <c r="J81" s="17" t="s">
        <v>135</v>
      </c>
      <c r="K81" s="25" t="s">
        <v>81</v>
      </c>
    </row>
    <row r="82" customFormat="false" ht="15.75" hidden="false" customHeight="true" outlineLevel="0" collapsed="false">
      <c r="A82" s="19" t="n">
        <v>7</v>
      </c>
      <c r="B82" s="19" t="n">
        <v>4</v>
      </c>
      <c r="C82" s="19" t="s">
        <v>243</v>
      </c>
      <c r="D82" s="26" t="s">
        <v>244</v>
      </c>
      <c r="E82" s="19" t="s">
        <v>112</v>
      </c>
      <c r="F82" s="19" t="n">
        <v>2</v>
      </c>
      <c r="G82" s="19" t="n">
        <v>0</v>
      </c>
      <c r="H82" s="19" t="n">
        <f aca="false">IF(AND(F82="",G82=""),"",F82+G82)</f>
        <v>2</v>
      </c>
      <c r="I82" s="19" t="n">
        <v>4</v>
      </c>
      <c r="J82" s="19" t="s">
        <v>135</v>
      </c>
      <c r="K82" s="25" t="s">
        <v>81</v>
      </c>
    </row>
    <row r="83" customFormat="false" ht="15.75" hidden="false" customHeight="true" outlineLevel="0" collapsed="false">
      <c r="A83" s="17" t="n">
        <v>7</v>
      </c>
      <c r="B83" s="17" t="n">
        <v>4</v>
      </c>
      <c r="C83" s="17" t="s">
        <v>245</v>
      </c>
      <c r="D83" s="24" t="s">
        <v>246</v>
      </c>
      <c r="E83" s="17" t="s">
        <v>112</v>
      </c>
      <c r="F83" s="17" t="n">
        <v>2</v>
      </c>
      <c r="G83" s="17" t="n">
        <v>0</v>
      </c>
      <c r="H83" s="17" t="n">
        <f aca="false">IF(AND(F83="",G83=""),"",F83+G83)</f>
        <v>2</v>
      </c>
      <c r="I83" s="17" t="n">
        <v>4</v>
      </c>
      <c r="J83" s="17" t="s">
        <v>135</v>
      </c>
      <c r="K83" s="25" t="s">
        <v>81</v>
      </c>
    </row>
    <row r="84" customFormat="false" ht="15.75" hidden="false" customHeight="true" outlineLevel="0" collapsed="false">
      <c r="A84" s="19" t="n">
        <v>7</v>
      </c>
      <c r="B84" s="19" t="n">
        <v>4</v>
      </c>
      <c r="C84" s="19" t="s">
        <v>247</v>
      </c>
      <c r="D84" s="26" t="s">
        <v>248</v>
      </c>
      <c r="E84" s="19" t="s">
        <v>112</v>
      </c>
      <c r="F84" s="19" t="n">
        <v>2</v>
      </c>
      <c r="G84" s="19" t="n">
        <v>0</v>
      </c>
      <c r="H84" s="19" t="n">
        <f aca="false">IF(AND(F84="",G84=""),"",F84+G84)</f>
        <v>2</v>
      </c>
      <c r="I84" s="19" t="n">
        <v>4</v>
      </c>
      <c r="J84" s="19" t="s">
        <v>135</v>
      </c>
      <c r="K84" s="25" t="s">
        <v>81</v>
      </c>
    </row>
    <row r="85" customFormat="false" ht="15.75" hidden="false" customHeight="true" outlineLevel="0" collapsed="false">
      <c r="A85" s="17" t="n">
        <v>7</v>
      </c>
      <c r="B85" s="17" t="n">
        <v>4</v>
      </c>
      <c r="C85" s="17" t="s">
        <v>249</v>
      </c>
      <c r="D85" s="24" t="s">
        <v>250</v>
      </c>
      <c r="E85" s="17" t="s">
        <v>112</v>
      </c>
      <c r="F85" s="17" t="n">
        <v>2</v>
      </c>
      <c r="G85" s="17" t="n">
        <v>0</v>
      </c>
      <c r="H85" s="17" t="n">
        <f aca="false">IF(AND(F85="",G85=""),"",F85+G85)</f>
        <v>2</v>
      </c>
      <c r="I85" s="17" t="n">
        <v>4</v>
      </c>
      <c r="J85" s="17" t="s">
        <v>135</v>
      </c>
      <c r="K85" s="25" t="s">
        <v>81</v>
      </c>
    </row>
    <row r="86" customFormat="false" ht="15.75" hidden="false" customHeight="true" outlineLevel="0" collapsed="false">
      <c r="A86" s="19" t="n">
        <v>7</v>
      </c>
      <c r="B86" s="19" t="n">
        <v>4</v>
      </c>
      <c r="C86" s="19" t="s">
        <v>251</v>
      </c>
      <c r="D86" s="26" t="s">
        <v>252</v>
      </c>
      <c r="E86" s="19" t="s">
        <v>112</v>
      </c>
      <c r="F86" s="19" t="n">
        <v>2</v>
      </c>
      <c r="G86" s="19" t="n">
        <v>0</v>
      </c>
      <c r="H86" s="19" t="n">
        <f aca="false">IF(AND(F86="",G86=""),"",F86+G86)</f>
        <v>2</v>
      </c>
      <c r="I86" s="19" t="n">
        <v>4</v>
      </c>
      <c r="J86" s="19" t="s">
        <v>135</v>
      </c>
      <c r="K86" s="25" t="s">
        <v>81</v>
      </c>
    </row>
    <row r="87" customFormat="false" ht="15.75" hidden="false" customHeight="true" outlineLevel="0" collapsed="false">
      <c r="A87" s="17" t="n">
        <v>7</v>
      </c>
      <c r="B87" s="17" t="n">
        <v>4</v>
      </c>
      <c r="C87" s="17" t="s">
        <v>253</v>
      </c>
      <c r="D87" s="24" t="s">
        <v>254</v>
      </c>
      <c r="E87" s="17" t="s">
        <v>112</v>
      </c>
      <c r="F87" s="17" t="n">
        <v>2</v>
      </c>
      <c r="G87" s="17" t="n">
        <v>0</v>
      </c>
      <c r="H87" s="17" t="n">
        <f aca="false">IF(AND(F87="",G87=""),"",F87+G87)</f>
        <v>2</v>
      </c>
      <c r="I87" s="17" t="n">
        <v>4</v>
      </c>
      <c r="J87" s="17" t="s">
        <v>135</v>
      </c>
      <c r="K87" s="25" t="s">
        <v>81</v>
      </c>
    </row>
    <row r="88" customFormat="false" ht="15.75" hidden="false" customHeight="true" outlineLevel="0" collapsed="false">
      <c r="A88" s="19" t="n">
        <v>7</v>
      </c>
      <c r="B88" s="19" t="n">
        <v>4</v>
      </c>
      <c r="C88" s="19" t="s">
        <v>255</v>
      </c>
      <c r="D88" s="26" t="s">
        <v>149</v>
      </c>
      <c r="E88" s="19" t="s">
        <v>112</v>
      </c>
      <c r="F88" s="19" t="n">
        <v>0</v>
      </c>
      <c r="G88" s="19" t="n">
        <v>2</v>
      </c>
      <c r="H88" s="19" t="n">
        <f aca="false">IF(AND(F88="",G88=""),"",F88+G88)</f>
        <v>2</v>
      </c>
      <c r="I88" s="19" t="n">
        <v>5</v>
      </c>
      <c r="J88" s="19" t="s">
        <v>256</v>
      </c>
      <c r="K88" s="25" t="s">
        <v>81</v>
      </c>
    </row>
    <row r="89" customFormat="false" ht="15.75" hidden="false" customHeight="true" outlineLevel="0" collapsed="false">
      <c r="A89" s="17" t="n">
        <v>7</v>
      </c>
      <c r="B89" s="17" t="n">
        <v>4</v>
      </c>
      <c r="C89" s="17" t="s">
        <v>257</v>
      </c>
      <c r="D89" s="24" t="s">
        <v>258</v>
      </c>
      <c r="E89" s="17" t="s">
        <v>112</v>
      </c>
      <c r="F89" s="17" t="n">
        <v>0</v>
      </c>
      <c r="G89" s="17" t="n">
        <v>40</v>
      </c>
      <c r="H89" s="17" t="n">
        <f aca="false">IF(AND(F89="",G89=""),"",F89+G89)</f>
        <v>40</v>
      </c>
      <c r="I89" s="17" t="n">
        <v>30</v>
      </c>
      <c r="J89" s="17" t="s">
        <v>259</v>
      </c>
      <c r="K89" s="25" t="s">
        <v>81</v>
      </c>
    </row>
    <row r="90" customFormat="false" ht="15.75" hidden="false" customHeight="true" outlineLevel="0" collapsed="false">
      <c r="A90" s="19" t="n">
        <v>7</v>
      </c>
      <c r="B90" s="19" t="n">
        <v>4</v>
      </c>
      <c r="C90" s="19" t="s">
        <v>260</v>
      </c>
      <c r="D90" s="26" t="s">
        <v>261</v>
      </c>
      <c r="E90" s="19" t="s">
        <v>112</v>
      </c>
      <c r="F90" s="19" t="n">
        <v>3</v>
      </c>
      <c r="G90" s="19" t="n">
        <v>0</v>
      </c>
      <c r="H90" s="19" t="n">
        <f aca="false">IF(AND(F90="",G90=""),"",F90+G90)</f>
        <v>3</v>
      </c>
      <c r="I90" s="19" t="n">
        <v>4</v>
      </c>
      <c r="J90" s="19" t="s">
        <v>195</v>
      </c>
      <c r="K90" s="25" t="s">
        <v>81</v>
      </c>
    </row>
    <row r="91" customFormat="false" ht="15.75" hidden="false" customHeight="true" outlineLevel="0" collapsed="false">
      <c r="A91" s="17" t="n">
        <v>7</v>
      </c>
      <c r="B91" s="17" t="n">
        <v>4</v>
      </c>
      <c r="C91" s="17" t="s">
        <v>262</v>
      </c>
      <c r="D91" s="24" t="s">
        <v>263</v>
      </c>
      <c r="E91" s="17" t="s">
        <v>112</v>
      </c>
      <c r="F91" s="17" t="n">
        <v>2</v>
      </c>
      <c r="G91" s="17" t="n">
        <v>0</v>
      </c>
      <c r="H91" s="17" t="n">
        <f aca="false">IF(AND(F91="",G91=""),"",F91+G91)</f>
        <v>2</v>
      </c>
      <c r="I91" s="17" t="n">
        <v>3</v>
      </c>
      <c r="J91" s="17" t="s">
        <v>195</v>
      </c>
      <c r="K91" s="25" t="s">
        <v>81</v>
      </c>
    </row>
    <row r="92" customFormat="false" ht="15.75" hidden="false" customHeight="true" outlineLevel="0" collapsed="false">
      <c r="A92" s="19" t="n">
        <v>8</v>
      </c>
      <c r="B92" s="19" t="n">
        <v>4</v>
      </c>
      <c r="C92" s="19" t="s">
        <v>264</v>
      </c>
      <c r="D92" s="26" t="s">
        <v>265</v>
      </c>
      <c r="E92" s="19" t="s">
        <v>112</v>
      </c>
      <c r="F92" s="19" t="n">
        <v>4</v>
      </c>
      <c r="G92" s="19" t="n">
        <v>0</v>
      </c>
      <c r="H92" s="19" t="n">
        <f aca="false">IF(AND(F92="",G92=""),"",F92+G92)</f>
        <v>4</v>
      </c>
      <c r="I92" s="19" t="n">
        <v>4</v>
      </c>
      <c r="J92" s="19" t="s">
        <v>80</v>
      </c>
      <c r="K92" s="25" t="s">
        <v>81</v>
      </c>
    </row>
    <row r="93" customFormat="false" ht="15.75" hidden="false" customHeight="true" outlineLevel="0" collapsed="false">
      <c r="A93" s="17" t="n">
        <v>8</v>
      </c>
      <c r="B93" s="17" t="n">
        <v>4</v>
      </c>
      <c r="C93" s="17" t="s">
        <v>266</v>
      </c>
      <c r="D93" s="24" t="s">
        <v>267</v>
      </c>
      <c r="E93" s="17" t="s">
        <v>112</v>
      </c>
      <c r="F93" s="17" t="n">
        <v>2</v>
      </c>
      <c r="G93" s="17" t="n">
        <v>0</v>
      </c>
      <c r="H93" s="17" t="n">
        <f aca="false">IF(AND(F93="",G93=""),"",F93+G93)</f>
        <v>2</v>
      </c>
      <c r="I93" s="17" t="n">
        <v>5</v>
      </c>
      <c r="J93" s="17" t="s">
        <v>80</v>
      </c>
      <c r="K93" s="25" t="s">
        <v>81</v>
      </c>
    </row>
    <row r="94" customFormat="false" ht="15.75" hidden="false" customHeight="true" outlineLevel="0" collapsed="false">
      <c r="A94" s="19" t="n">
        <v>8</v>
      </c>
      <c r="B94" s="19" t="n">
        <v>4</v>
      </c>
      <c r="C94" s="19" t="s">
        <v>268</v>
      </c>
      <c r="D94" s="26" t="s">
        <v>269</v>
      </c>
      <c r="E94" s="19" t="s">
        <v>112</v>
      </c>
      <c r="F94" s="19" t="n">
        <v>2</v>
      </c>
      <c r="G94" s="19" t="n">
        <v>0</v>
      </c>
      <c r="H94" s="19" t="n">
        <f aca="false">IF(AND(F94="",G94=""),"",F94+G94)</f>
        <v>2</v>
      </c>
      <c r="I94" s="19" t="n">
        <v>5</v>
      </c>
      <c r="J94" s="19" t="s">
        <v>80</v>
      </c>
      <c r="K94" s="25" t="s">
        <v>81</v>
      </c>
    </row>
    <row r="95" customFormat="false" ht="15.75" hidden="false" customHeight="true" outlineLevel="0" collapsed="false">
      <c r="A95" s="17" t="n">
        <v>8</v>
      </c>
      <c r="B95" s="17" t="n">
        <v>4</v>
      </c>
      <c r="C95" s="17" t="s">
        <v>270</v>
      </c>
      <c r="D95" s="24" t="s">
        <v>271</v>
      </c>
      <c r="E95" s="17" t="s">
        <v>112</v>
      </c>
      <c r="F95" s="17" t="n">
        <v>4</v>
      </c>
      <c r="G95" s="17" t="n">
        <v>0</v>
      </c>
      <c r="H95" s="17" t="n">
        <f aca="false">IF(AND(F95="",G95=""),"",F95+G95)</f>
        <v>4</v>
      </c>
      <c r="I95" s="17" t="n">
        <v>4</v>
      </c>
      <c r="J95" s="17" t="s">
        <v>128</v>
      </c>
      <c r="K95" s="25" t="s">
        <v>81</v>
      </c>
    </row>
    <row r="96" customFormat="false" ht="15.75" hidden="false" customHeight="true" outlineLevel="0" collapsed="false">
      <c r="A96" s="19" t="n">
        <v>8</v>
      </c>
      <c r="B96" s="19" t="n">
        <v>4</v>
      </c>
      <c r="C96" s="19" t="s">
        <v>272</v>
      </c>
      <c r="D96" s="26" t="s">
        <v>273</v>
      </c>
      <c r="E96" s="19" t="s">
        <v>112</v>
      </c>
      <c r="F96" s="19" t="n">
        <v>4</v>
      </c>
      <c r="G96" s="19" t="n">
        <v>0</v>
      </c>
      <c r="H96" s="19" t="n">
        <f aca="false">IF(AND(F96="",G96=""),"",F96+G96)</f>
        <v>4</v>
      </c>
      <c r="I96" s="19" t="n">
        <v>4</v>
      </c>
      <c r="J96" s="19" t="s">
        <v>128</v>
      </c>
      <c r="K96" s="25" t="s">
        <v>81</v>
      </c>
    </row>
    <row r="97" customFormat="false" ht="15.75" hidden="false" customHeight="true" outlineLevel="0" collapsed="false">
      <c r="A97" s="17" t="n">
        <v>8</v>
      </c>
      <c r="B97" s="17" t="n">
        <v>4</v>
      </c>
      <c r="C97" s="17" t="s">
        <v>274</v>
      </c>
      <c r="D97" s="24" t="s">
        <v>275</v>
      </c>
      <c r="E97" s="17" t="s">
        <v>112</v>
      </c>
      <c r="F97" s="17" t="n">
        <v>4</v>
      </c>
      <c r="G97" s="17" t="n">
        <v>0</v>
      </c>
      <c r="H97" s="17" t="n">
        <f aca="false">IF(AND(F97="",G97=""),"",F97+G97)</f>
        <v>4</v>
      </c>
      <c r="I97" s="17" t="n">
        <v>4</v>
      </c>
      <c r="J97" s="17" t="s">
        <v>128</v>
      </c>
      <c r="K97" s="25" t="s">
        <v>81</v>
      </c>
    </row>
    <row r="98" customFormat="false" ht="15.75" hidden="false" customHeight="true" outlineLevel="0" collapsed="false">
      <c r="A98" s="19" t="n">
        <v>8</v>
      </c>
      <c r="B98" s="19" t="n">
        <v>4</v>
      </c>
      <c r="C98" s="19" t="s">
        <v>276</v>
      </c>
      <c r="D98" s="26" t="s">
        <v>277</v>
      </c>
      <c r="E98" s="19" t="s">
        <v>112</v>
      </c>
      <c r="F98" s="19" t="n">
        <v>2</v>
      </c>
      <c r="G98" s="19" t="n">
        <v>0</v>
      </c>
      <c r="H98" s="19" t="n">
        <f aca="false">IF(AND(F98="",G98=""),"",F98+G98)</f>
        <v>2</v>
      </c>
      <c r="I98" s="19" t="n">
        <v>4</v>
      </c>
      <c r="J98" s="19" t="s">
        <v>135</v>
      </c>
      <c r="K98" s="25" t="s">
        <v>81</v>
      </c>
    </row>
    <row r="99" customFormat="false" ht="15.75" hidden="false" customHeight="true" outlineLevel="0" collapsed="false">
      <c r="A99" s="17" t="n">
        <v>8</v>
      </c>
      <c r="B99" s="17" t="n">
        <v>4</v>
      </c>
      <c r="C99" s="17" t="s">
        <v>278</v>
      </c>
      <c r="D99" s="24" t="s">
        <v>279</v>
      </c>
      <c r="E99" s="17" t="s">
        <v>112</v>
      </c>
      <c r="F99" s="17" t="n">
        <v>2</v>
      </c>
      <c r="G99" s="17" t="n">
        <v>0</v>
      </c>
      <c r="H99" s="17" t="n">
        <f aca="false">IF(AND(F99="",G99=""),"",F99+G99)</f>
        <v>2</v>
      </c>
      <c r="I99" s="17" t="n">
        <v>4</v>
      </c>
      <c r="J99" s="17" t="s">
        <v>135</v>
      </c>
      <c r="K99" s="25" t="s">
        <v>81</v>
      </c>
    </row>
    <row r="100" customFormat="false" ht="15.75" hidden="false" customHeight="true" outlineLevel="0" collapsed="false">
      <c r="A100" s="19" t="n">
        <v>8</v>
      </c>
      <c r="B100" s="19" t="n">
        <v>4</v>
      </c>
      <c r="C100" s="19" t="s">
        <v>280</v>
      </c>
      <c r="D100" s="26" t="s">
        <v>281</v>
      </c>
      <c r="E100" s="19" t="s">
        <v>112</v>
      </c>
      <c r="F100" s="19" t="n">
        <v>2</v>
      </c>
      <c r="G100" s="19" t="n">
        <v>0</v>
      </c>
      <c r="H100" s="19" t="n">
        <f aca="false">IF(AND(F100="",G100=""),"",F100+G100)</f>
        <v>2</v>
      </c>
      <c r="I100" s="19" t="n">
        <v>4</v>
      </c>
      <c r="J100" s="19" t="s">
        <v>135</v>
      </c>
      <c r="K100" s="25" t="s">
        <v>81</v>
      </c>
    </row>
    <row r="101" customFormat="false" ht="15.75" hidden="false" customHeight="true" outlineLevel="0" collapsed="false">
      <c r="A101" s="17" t="n">
        <v>8</v>
      </c>
      <c r="B101" s="17" t="n">
        <v>4</v>
      </c>
      <c r="C101" s="17" t="s">
        <v>282</v>
      </c>
      <c r="D101" s="24" t="s">
        <v>283</v>
      </c>
      <c r="E101" s="17" t="s">
        <v>112</v>
      </c>
      <c r="F101" s="17" t="n">
        <v>2</v>
      </c>
      <c r="G101" s="17" t="n">
        <v>0</v>
      </c>
      <c r="H101" s="17" t="n">
        <f aca="false">IF(AND(F101="",G101=""),"",F101+G101)</f>
        <v>2</v>
      </c>
      <c r="I101" s="17" t="n">
        <v>4</v>
      </c>
      <c r="J101" s="17" t="s">
        <v>135</v>
      </c>
      <c r="K101" s="25" t="s">
        <v>81</v>
      </c>
    </row>
    <row r="102" customFormat="false" ht="15.75" hidden="false" customHeight="true" outlineLevel="0" collapsed="false">
      <c r="A102" s="19" t="n">
        <v>8</v>
      </c>
      <c r="B102" s="19" t="n">
        <v>4</v>
      </c>
      <c r="C102" s="19" t="s">
        <v>284</v>
      </c>
      <c r="D102" s="26" t="s">
        <v>285</v>
      </c>
      <c r="E102" s="19" t="s">
        <v>112</v>
      </c>
      <c r="F102" s="19" t="n">
        <v>2</v>
      </c>
      <c r="G102" s="19" t="n">
        <v>0</v>
      </c>
      <c r="H102" s="19" t="n">
        <f aca="false">IF(AND(F102="",G102=""),"",F102+G102)</f>
        <v>2</v>
      </c>
      <c r="I102" s="19" t="n">
        <v>4</v>
      </c>
      <c r="J102" s="19" t="s">
        <v>135</v>
      </c>
      <c r="K102" s="25" t="s">
        <v>81</v>
      </c>
    </row>
    <row r="103" customFormat="false" ht="15.75" hidden="false" customHeight="true" outlineLevel="0" collapsed="false">
      <c r="A103" s="17" t="n">
        <v>8</v>
      </c>
      <c r="B103" s="17" t="n">
        <v>4</v>
      </c>
      <c r="C103" s="17" t="s">
        <v>286</v>
      </c>
      <c r="D103" s="24" t="s">
        <v>287</v>
      </c>
      <c r="E103" s="17" t="s">
        <v>112</v>
      </c>
      <c r="F103" s="17" t="n">
        <v>2</v>
      </c>
      <c r="G103" s="17" t="n">
        <v>0</v>
      </c>
      <c r="H103" s="17" t="n">
        <f aca="false">IF(AND(F103="",G103=""),"",F103+G103)</f>
        <v>2</v>
      </c>
      <c r="I103" s="17" t="n">
        <v>4</v>
      </c>
      <c r="J103" s="17" t="s">
        <v>135</v>
      </c>
      <c r="K103" s="25" t="s">
        <v>81</v>
      </c>
    </row>
    <row r="104" customFormat="false" ht="15.75" hidden="false" customHeight="true" outlineLevel="0" collapsed="false">
      <c r="A104" s="19" t="n">
        <v>8</v>
      </c>
      <c r="B104" s="19" t="n">
        <v>4</v>
      </c>
      <c r="C104" s="19" t="s">
        <v>288</v>
      </c>
      <c r="D104" s="26" t="s">
        <v>289</v>
      </c>
      <c r="E104" s="19" t="s">
        <v>112</v>
      </c>
      <c r="F104" s="19" t="n">
        <v>2</v>
      </c>
      <c r="G104" s="19" t="n">
        <v>0</v>
      </c>
      <c r="H104" s="19" t="n">
        <f aca="false">IF(AND(F104="",G104=""),"",F104+G104)</f>
        <v>2</v>
      </c>
      <c r="I104" s="19" t="n">
        <v>4</v>
      </c>
      <c r="J104" s="19" t="s">
        <v>135</v>
      </c>
      <c r="K104" s="25" t="s">
        <v>81</v>
      </c>
    </row>
    <row r="105" customFormat="false" ht="15.75" hidden="false" customHeight="true" outlineLevel="0" collapsed="false">
      <c r="A105" s="17" t="n">
        <v>8</v>
      </c>
      <c r="B105" s="17" t="n">
        <v>4</v>
      </c>
      <c r="C105" s="17" t="s">
        <v>290</v>
      </c>
      <c r="D105" s="24" t="s">
        <v>291</v>
      </c>
      <c r="E105" s="17" t="s">
        <v>112</v>
      </c>
      <c r="F105" s="17" t="n">
        <v>1</v>
      </c>
      <c r="G105" s="17" t="n">
        <v>2</v>
      </c>
      <c r="H105" s="17" t="n">
        <f aca="false">IF(AND(F105="",G105=""),"",F105+G105)</f>
        <v>3</v>
      </c>
      <c r="I105" s="17" t="n">
        <v>4</v>
      </c>
      <c r="J105" s="17" t="s">
        <v>292</v>
      </c>
      <c r="K105" s="25" t="s">
        <v>81</v>
      </c>
    </row>
    <row r="106" customFormat="false" ht="15.75" hidden="false" customHeight="true" outlineLevel="0" collapsed="false">
      <c r="A106" s="19" t="n">
        <v>8</v>
      </c>
      <c r="B106" s="19" t="n">
        <v>4</v>
      </c>
      <c r="C106" s="19" t="s">
        <v>293</v>
      </c>
      <c r="D106" s="26" t="s">
        <v>294</v>
      </c>
      <c r="E106" s="19" t="s">
        <v>112</v>
      </c>
      <c r="F106" s="19" t="n">
        <v>0</v>
      </c>
      <c r="G106" s="19" t="n">
        <v>40</v>
      </c>
      <c r="H106" s="19" t="n">
        <f aca="false">IF(AND(F106="",G106=""),"",F106+G106)</f>
        <v>40</v>
      </c>
      <c r="I106" s="19" t="n">
        <v>30</v>
      </c>
      <c r="J106" s="19" t="s">
        <v>259</v>
      </c>
      <c r="K106" s="25" t="s">
        <v>81</v>
      </c>
    </row>
    <row r="107" customFormat="false" ht="15.75" hidden="false" customHeight="true" outlineLevel="0" collapsed="false">
      <c r="A107" s="17" t="n">
        <v>8</v>
      </c>
      <c r="B107" s="17" t="n">
        <v>4</v>
      </c>
      <c r="C107" s="17" t="s">
        <v>295</v>
      </c>
      <c r="D107" s="24" t="s">
        <v>296</v>
      </c>
      <c r="E107" s="17" t="s">
        <v>112</v>
      </c>
      <c r="F107" s="17" t="n">
        <v>5</v>
      </c>
      <c r="G107" s="17" t="n">
        <v>0</v>
      </c>
      <c r="H107" s="17" t="n">
        <f aca="false">IF(AND(F107="",G107=""),"",F107+G107)</f>
        <v>5</v>
      </c>
      <c r="I107" s="17" t="n">
        <v>10</v>
      </c>
      <c r="J107" s="17" t="s">
        <v>195</v>
      </c>
      <c r="K107" s="25" t="s">
        <v>81</v>
      </c>
    </row>
    <row r="108" customFormat="false" ht="15.75" hidden="false" customHeight="true" outlineLevel="0" collapsed="false">
      <c r="A108" s="27"/>
      <c r="B108" s="27"/>
      <c r="C108" s="27"/>
      <c r="D108" s="28"/>
      <c r="E108" s="27"/>
      <c r="F108" s="27"/>
      <c r="G108" s="27"/>
      <c r="H108" s="27" t="str">
        <f aca="false">IF(AND(F108="",G108=""),"",F108+G108)</f>
        <v/>
      </c>
      <c r="I108" s="27"/>
      <c r="J108" s="27"/>
      <c r="K108" s="25"/>
    </row>
    <row r="109" customFormat="false" ht="15.75" hidden="false" customHeight="true" outlineLevel="0" collapsed="false">
      <c r="A109" s="27"/>
      <c r="B109" s="27"/>
      <c r="C109" s="27"/>
      <c r="D109" s="28"/>
      <c r="E109" s="27"/>
      <c r="F109" s="27"/>
      <c r="G109" s="27"/>
      <c r="H109" s="27" t="str">
        <f aca="false">IF(AND(F109="",G109=""),"",F109+G109)</f>
        <v/>
      </c>
      <c r="I109" s="27"/>
      <c r="J109" s="27"/>
      <c r="K109" s="25"/>
    </row>
    <row r="110" customFormat="false" ht="15.75" hidden="false" customHeight="true" outlineLevel="0" collapsed="false">
      <c r="A110" s="27"/>
      <c r="B110" s="27"/>
      <c r="C110" s="27"/>
      <c r="D110" s="28"/>
      <c r="E110" s="27"/>
      <c r="F110" s="27"/>
      <c r="G110" s="27"/>
      <c r="H110" s="27" t="str">
        <f aca="false">IF(AND(F110="",G110=""),"",F110+G110)</f>
        <v/>
      </c>
      <c r="I110" s="27"/>
      <c r="J110" s="27"/>
      <c r="K110" s="25"/>
    </row>
    <row r="111" customFormat="false" ht="15.75" hidden="false" customHeight="true" outlineLevel="0" collapsed="false">
      <c r="A111" s="27"/>
      <c r="B111" s="27"/>
      <c r="C111" s="27"/>
      <c r="D111" s="28"/>
      <c r="E111" s="27"/>
      <c r="F111" s="27"/>
      <c r="G111" s="27"/>
      <c r="H111" s="27" t="str">
        <f aca="false">IF(AND(F111="",G111=""),"",F111+G111)</f>
        <v/>
      </c>
      <c r="I111" s="27"/>
      <c r="J111" s="27"/>
      <c r="K111" s="25"/>
    </row>
    <row r="112" customFormat="false" ht="15.75" hidden="false" customHeight="true" outlineLevel="0" collapsed="false">
      <c r="A112" s="27"/>
      <c r="B112" s="27"/>
      <c r="C112" s="27"/>
      <c r="D112" s="28"/>
      <c r="E112" s="27"/>
      <c r="F112" s="27"/>
      <c r="G112" s="27"/>
      <c r="H112" s="27" t="str">
        <f aca="false">IF(AND(F112="",G112=""),"",F112+G112)</f>
        <v/>
      </c>
      <c r="I112" s="27"/>
      <c r="J112" s="27"/>
      <c r="K112" s="25"/>
    </row>
    <row r="113" customFormat="false" ht="15.75" hidden="false" customHeight="true" outlineLevel="0" collapsed="false">
      <c r="A113" s="27"/>
      <c r="B113" s="27"/>
      <c r="C113" s="27"/>
      <c r="D113" s="28"/>
      <c r="E113" s="27"/>
      <c r="F113" s="27"/>
      <c r="G113" s="27"/>
      <c r="H113" s="27" t="str">
        <f aca="false">IF(AND(F113="",G113=""),"",F113+G113)</f>
        <v/>
      </c>
      <c r="I113" s="27"/>
      <c r="J113" s="27"/>
      <c r="K113" s="25"/>
    </row>
    <row r="114" customFormat="false" ht="15.75" hidden="false" customHeight="true" outlineLevel="0" collapsed="false">
      <c r="A114" s="27"/>
      <c r="B114" s="27"/>
      <c r="C114" s="27"/>
      <c r="D114" s="28"/>
      <c r="E114" s="27"/>
      <c r="F114" s="27"/>
      <c r="G114" s="27"/>
      <c r="H114" s="27" t="str">
        <f aca="false">IF(AND(F114="",G114=""),"",F114+G114)</f>
        <v/>
      </c>
      <c r="I114" s="27"/>
      <c r="J114" s="27"/>
      <c r="K114" s="25"/>
    </row>
    <row r="115" customFormat="false" ht="15.75" hidden="false" customHeight="true" outlineLevel="0" collapsed="false">
      <c r="A115" s="27"/>
      <c r="B115" s="27"/>
      <c r="C115" s="27"/>
      <c r="D115" s="28"/>
      <c r="E115" s="27"/>
      <c r="F115" s="27"/>
      <c r="G115" s="27"/>
      <c r="H115" s="27" t="str">
        <f aca="false">IF(AND(F115="",G115=""),"",F115+G115)</f>
        <v/>
      </c>
      <c r="I115" s="27"/>
      <c r="J115" s="27"/>
      <c r="K115" s="25"/>
    </row>
    <row r="116" customFormat="false" ht="15.75" hidden="false" customHeight="true" outlineLevel="0" collapsed="false">
      <c r="A116" s="27"/>
      <c r="B116" s="27"/>
      <c r="C116" s="27"/>
      <c r="D116" s="28"/>
      <c r="E116" s="27"/>
      <c r="F116" s="27"/>
      <c r="G116" s="27"/>
      <c r="H116" s="27" t="str">
        <f aca="false">IF(AND(F116="",G116=""),"",F116+G116)</f>
        <v/>
      </c>
      <c r="I116" s="27"/>
      <c r="J116" s="27"/>
      <c r="K116" s="25"/>
    </row>
    <row r="117" customFormat="false" ht="15.75" hidden="false" customHeight="true" outlineLevel="0" collapsed="false">
      <c r="A117" s="27"/>
      <c r="B117" s="27"/>
      <c r="C117" s="27"/>
      <c r="D117" s="28"/>
      <c r="E117" s="27"/>
      <c r="F117" s="27"/>
      <c r="G117" s="27"/>
      <c r="H117" s="27" t="str">
        <f aca="false">IF(AND(F117="",G117=""),"",F117+G117)</f>
        <v/>
      </c>
      <c r="I117" s="27"/>
      <c r="J117" s="27"/>
      <c r="K117" s="25"/>
    </row>
    <row r="118" customFormat="false" ht="15.75" hidden="false" customHeight="true" outlineLevel="0" collapsed="false">
      <c r="A118" s="27"/>
      <c r="B118" s="27"/>
      <c r="C118" s="27"/>
      <c r="D118" s="28"/>
      <c r="E118" s="27"/>
      <c r="F118" s="27"/>
      <c r="G118" s="27"/>
      <c r="H118" s="27" t="str">
        <f aca="false">IF(AND(F118="",G118=""),"",F118+G118)</f>
        <v/>
      </c>
      <c r="I118" s="27"/>
      <c r="J118" s="27"/>
      <c r="K118" s="25"/>
    </row>
    <row r="119" customFormat="false" ht="15.75" hidden="false" customHeight="true" outlineLevel="0" collapsed="false">
      <c r="A119" s="27"/>
      <c r="B119" s="27"/>
      <c r="C119" s="27"/>
      <c r="D119" s="28"/>
      <c r="E119" s="27"/>
      <c r="F119" s="27"/>
      <c r="G119" s="27"/>
      <c r="H119" s="27" t="str">
        <f aca="false">IF(AND(F119="",G119=""),"",F119+G119)</f>
        <v/>
      </c>
      <c r="I119" s="27"/>
      <c r="J119" s="27"/>
      <c r="K119" s="25"/>
    </row>
    <row r="120" customFormat="false" ht="15.75" hidden="false" customHeight="true" outlineLevel="0" collapsed="false">
      <c r="A120" s="27"/>
      <c r="B120" s="27"/>
      <c r="C120" s="27"/>
      <c r="D120" s="28"/>
      <c r="E120" s="27"/>
      <c r="F120" s="27"/>
      <c r="G120" s="27"/>
      <c r="H120" s="27" t="str">
        <f aca="false">IF(AND(F120="",G120=""),"",F120+G120)</f>
        <v/>
      </c>
      <c r="I120" s="27"/>
      <c r="J120" s="27"/>
      <c r="K120" s="25"/>
    </row>
    <row r="121" customFormat="false" ht="15.75" hidden="false" customHeight="true" outlineLevel="0" collapsed="false">
      <c r="A121" s="27"/>
      <c r="B121" s="27"/>
      <c r="C121" s="27"/>
      <c r="D121" s="28"/>
      <c r="E121" s="27"/>
      <c r="F121" s="27"/>
      <c r="G121" s="27"/>
      <c r="H121" s="27" t="str">
        <f aca="false">IF(AND(F121="",G121=""),"",F121+G121)</f>
        <v/>
      </c>
      <c r="I121" s="27"/>
      <c r="J121" s="27"/>
      <c r="K121" s="25"/>
    </row>
    <row r="122" customFormat="false" ht="15.75" hidden="false" customHeight="true" outlineLevel="0" collapsed="false">
      <c r="A122" s="27"/>
      <c r="B122" s="27"/>
      <c r="C122" s="27"/>
      <c r="D122" s="28"/>
      <c r="E122" s="27"/>
      <c r="F122" s="27"/>
      <c r="G122" s="27"/>
      <c r="H122" s="27" t="str">
        <f aca="false">IF(AND(F122="",G122=""),"",F122+G122)</f>
        <v/>
      </c>
      <c r="I122" s="27"/>
      <c r="J122" s="27"/>
      <c r="K122" s="25"/>
    </row>
    <row r="123" customFormat="false" ht="15.75" hidden="false" customHeight="true" outlineLevel="0" collapsed="false">
      <c r="A123" s="27"/>
      <c r="B123" s="27"/>
      <c r="C123" s="27"/>
      <c r="D123" s="28"/>
      <c r="E123" s="27"/>
      <c r="F123" s="27"/>
      <c r="G123" s="27"/>
      <c r="H123" s="27" t="str">
        <f aca="false">IF(AND(F123="",G123=""),"",F123+G123)</f>
        <v/>
      </c>
      <c r="I123" s="27"/>
      <c r="J123" s="27"/>
      <c r="K123" s="25"/>
    </row>
    <row r="124" customFormat="false" ht="15.75" hidden="false" customHeight="true" outlineLevel="0" collapsed="false">
      <c r="A124" s="27"/>
      <c r="B124" s="27"/>
      <c r="C124" s="27"/>
      <c r="D124" s="28"/>
      <c r="E124" s="27"/>
      <c r="F124" s="27"/>
      <c r="G124" s="27"/>
      <c r="H124" s="27" t="str">
        <f aca="false">IF(AND(F124="",G124=""),"",F124+G124)</f>
        <v/>
      </c>
      <c r="I124" s="27"/>
      <c r="J124" s="27"/>
      <c r="K124" s="25"/>
    </row>
    <row r="125" customFormat="false" ht="15.75" hidden="false" customHeight="true" outlineLevel="0" collapsed="false">
      <c r="A125" s="27"/>
      <c r="B125" s="27"/>
      <c r="C125" s="27"/>
      <c r="D125" s="28"/>
      <c r="E125" s="27"/>
      <c r="F125" s="27"/>
      <c r="G125" s="27"/>
      <c r="H125" s="27" t="str">
        <f aca="false">IF(AND(F125="",G125=""),"",F125+G125)</f>
        <v/>
      </c>
      <c r="I125" s="27"/>
      <c r="J125" s="27"/>
      <c r="K125" s="25"/>
    </row>
    <row r="126" customFormat="false" ht="15.75" hidden="false" customHeight="true" outlineLevel="0" collapsed="false">
      <c r="A126" s="27"/>
      <c r="B126" s="27"/>
      <c r="C126" s="27"/>
      <c r="D126" s="28"/>
      <c r="E126" s="27"/>
      <c r="F126" s="27"/>
      <c r="G126" s="27"/>
      <c r="H126" s="27" t="str">
        <f aca="false">IF(AND(F126="",G126=""),"",F126+G126)</f>
        <v/>
      </c>
      <c r="I126" s="27"/>
      <c r="J126" s="27"/>
      <c r="K126" s="25"/>
    </row>
    <row r="127" customFormat="false" ht="15.75" hidden="false" customHeight="true" outlineLevel="0" collapsed="false">
      <c r="A127" s="27"/>
      <c r="B127" s="27"/>
      <c r="C127" s="27"/>
      <c r="D127" s="28"/>
      <c r="E127" s="27"/>
      <c r="F127" s="27"/>
      <c r="G127" s="27"/>
      <c r="H127" s="27" t="str">
        <f aca="false">IF(AND(F127="",G127=""),"",F127+G127)</f>
        <v/>
      </c>
      <c r="I127" s="27"/>
      <c r="J127" s="27"/>
      <c r="K127" s="25"/>
    </row>
    <row r="128" customFormat="false" ht="15.75" hidden="false" customHeight="true" outlineLevel="0" collapsed="false">
      <c r="A128" s="27"/>
      <c r="B128" s="27"/>
      <c r="C128" s="27"/>
      <c r="D128" s="28"/>
      <c r="E128" s="27"/>
      <c r="F128" s="27"/>
      <c r="G128" s="27"/>
      <c r="H128" s="27" t="str">
        <f aca="false">IF(AND(F128="",G128=""),"",F128+G128)</f>
        <v/>
      </c>
      <c r="I128" s="27"/>
      <c r="J128" s="27"/>
      <c r="K128" s="25"/>
    </row>
    <row r="129" customFormat="false" ht="15.75" hidden="false" customHeight="true" outlineLevel="0" collapsed="false">
      <c r="A129" s="27"/>
      <c r="B129" s="27"/>
      <c r="C129" s="27"/>
      <c r="D129" s="28"/>
      <c r="E129" s="27"/>
      <c r="F129" s="27"/>
      <c r="G129" s="27"/>
      <c r="H129" s="27" t="str">
        <f aca="false">IF(AND(F129="",G129=""),"",F129+G129)</f>
        <v/>
      </c>
      <c r="I129" s="27"/>
      <c r="J129" s="27"/>
      <c r="K129" s="25"/>
    </row>
    <row r="130" customFormat="false" ht="15.75" hidden="false" customHeight="true" outlineLevel="0" collapsed="false">
      <c r="A130" s="27"/>
      <c r="B130" s="27"/>
      <c r="C130" s="27"/>
      <c r="D130" s="28"/>
      <c r="E130" s="27"/>
      <c r="F130" s="27"/>
      <c r="G130" s="27"/>
      <c r="H130" s="27" t="str">
        <f aca="false">IF(AND(F130="",G130=""),"",F130+G130)</f>
        <v/>
      </c>
      <c r="I130" s="27"/>
      <c r="J130" s="27"/>
      <c r="K130" s="25"/>
    </row>
    <row r="131" customFormat="false" ht="15.75" hidden="false" customHeight="true" outlineLevel="0" collapsed="false">
      <c r="A131" s="27"/>
      <c r="B131" s="27"/>
      <c r="C131" s="27"/>
      <c r="D131" s="28"/>
      <c r="E131" s="27"/>
      <c r="F131" s="27"/>
      <c r="G131" s="27"/>
      <c r="H131" s="27" t="str">
        <f aca="false">IF(AND(F131="",G131=""),"",F131+G131)</f>
        <v/>
      </c>
      <c r="I131" s="27"/>
      <c r="J131" s="27"/>
      <c r="K131" s="25"/>
    </row>
    <row r="132" customFormat="false" ht="15.75" hidden="false" customHeight="true" outlineLevel="0" collapsed="false">
      <c r="A132" s="27"/>
      <c r="B132" s="27"/>
      <c r="C132" s="27"/>
      <c r="D132" s="28"/>
      <c r="E132" s="27"/>
      <c r="F132" s="27"/>
      <c r="G132" s="27"/>
      <c r="H132" s="27" t="str">
        <f aca="false">IF(AND(F132="",G132=""),"",F132+G132)</f>
        <v/>
      </c>
      <c r="I132" s="27"/>
      <c r="J132" s="27"/>
      <c r="K132" s="25"/>
    </row>
    <row r="133" customFormat="false" ht="15.75" hidden="false" customHeight="true" outlineLevel="0" collapsed="false">
      <c r="A133" s="27"/>
      <c r="B133" s="27"/>
      <c r="C133" s="27"/>
      <c r="D133" s="28"/>
      <c r="E133" s="27"/>
      <c r="F133" s="27"/>
      <c r="G133" s="27"/>
      <c r="H133" s="27" t="str">
        <f aca="false">IF(AND(F133="",G133=""),"",F133+G133)</f>
        <v/>
      </c>
      <c r="I133" s="27"/>
      <c r="J133" s="27"/>
      <c r="K133" s="25"/>
    </row>
    <row r="134" customFormat="false" ht="15.75" hidden="false" customHeight="true" outlineLevel="0" collapsed="false">
      <c r="A134" s="27"/>
      <c r="B134" s="27"/>
      <c r="C134" s="27"/>
      <c r="D134" s="28"/>
      <c r="E134" s="27"/>
      <c r="F134" s="27"/>
      <c r="G134" s="27"/>
      <c r="H134" s="27" t="str">
        <f aca="false">IF(AND(F134="",G134=""),"",F134+G134)</f>
        <v/>
      </c>
      <c r="I134" s="27"/>
      <c r="J134" s="27"/>
      <c r="K134" s="25"/>
    </row>
    <row r="135" customFormat="false" ht="15.75" hidden="false" customHeight="true" outlineLevel="0" collapsed="false">
      <c r="A135" s="27"/>
      <c r="B135" s="27"/>
      <c r="C135" s="27"/>
      <c r="D135" s="28"/>
      <c r="E135" s="27"/>
      <c r="F135" s="27"/>
      <c r="G135" s="27"/>
      <c r="H135" s="27" t="str">
        <f aca="false">IF(AND(F135="",G135=""),"",F135+G135)</f>
        <v/>
      </c>
      <c r="I135" s="27"/>
      <c r="J135" s="27"/>
      <c r="K135" s="25"/>
    </row>
    <row r="136" customFormat="false" ht="15.75" hidden="false" customHeight="true" outlineLevel="0" collapsed="false">
      <c r="A136" s="27"/>
      <c r="B136" s="27"/>
      <c r="C136" s="27"/>
      <c r="D136" s="28"/>
      <c r="E136" s="27"/>
      <c r="F136" s="27"/>
      <c r="G136" s="27"/>
      <c r="H136" s="27" t="str">
        <f aca="false">IF(AND(F136="",G136=""),"",F136+G136)</f>
        <v/>
      </c>
      <c r="I136" s="27"/>
      <c r="J136" s="27"/>
      <c r="K136" s="25"/>
    </row>
    <row r="137" customFormat="false" ht="15.75" hidden="false" customHeight="true" outlineLevel="0" collapsed="false">
      <c r="A137" s="27"/>
      <c r="B137" s="27"/>
      <c r="C137" s="27"/>
      <c r="D137" s="28"/>
      <c r="E137" s="27"/>
      <c r="F137" s="27"/>
      <c r="G137" s="27"/>
      <c r="H137" s="27" t="str">
        <f aca="false">IF(AND(F137="",G137=""),"",F137+G137)</f>
        <v/>
      </c>
      <c r="I137" s="27"/>
      <c r="J137" s="27"/>
      <c r="K137" s="25"/>
    </row>
    <row r="138" customFormat="false" ht="15.75" hidden="false" customHeight="true" outlineLevel="0" collapsed="false">
      <c r="A138" s="27"/>
      <c r="B138" s="27"/>
      <c r="C138" s="27"/>
      <c r="D138" s="28"/>
      <c r="E138" s="27"/>
      <c r="F138" s="27"/>
      <c r="G138" s="27"/>
      <c r="H138" s="27" t="str">
        <f aca="false">IF(AND(F138="",G138=""),"",F138+G138)</f>
        <v/>
      </c>
      <c r="I138" s="27"/>
      <c r="J138" s="27"/>
      <c r="K138" s="25"/>
    </row>
    <row r="139" customFormat="false" ht="15.75" hidden="false" customHeight="true" outlineLevel="0" collapsed="false">
      <c r="A139" s="27"/>
      <c r="B139" s="27"/>
      <c r="C139" s="27"/>
      <c r="D139" s="28"/>
      <c r="E139" s="27"/>
      <c r="F139" s="27"/>
      <c r="G139" s="27"/>
      <c r="H139" s="27" t="str">
        <f aca="false">IF(AND(F139="",G139=""),"",F139+G139)</f>
        <v/>
      </c>
      <c r="I139" s="27"/>
      <c r="J139" s="27"/>
      <c r="K139" s="25"/>
    </row>
    <row r="140" customFormat="false" ht="15.75" hidden="false" customHeight="true" outlineLevel="0" collapsed="false">
      <c r="A140" s="27"/>
      <c r="B140" s="27"/>
      <c r="C140" s="27"/>
      <c r="D140" s="28"/>
      <c r="E140" s="27"/>
      <c r="F140" s="27"/>
      <c r="G140" s="27"/>
      <c r="H140" s="27" t="str">
        <f aca="false">IF(AND(F140="",G140=""),"",F140+G140)</f>
        <v/>
      </c>
      <c r="I140" s="27"/>
      <c r="J140" s="27"/>
      <c r="K140" s="25"/>
    </row>
    <row r="141" customFormat="false" ht="15.75" hidden="false" customHeight="true" outlineLevel="0" collapsed="false">
      <c r="A141" s="27"/>
      <c r="B141" s="27"/>
      <c r="C141" s="27"/>
      <c r="D141" s="28"/>
      <c r="E141" s="27"/>
      <c r="F141" s="27"/>
      <c r="G141" s="27"/>
      <c r="H141" s="27" t="str">
        <f aca="false">IF(AND(F141="",G141=""),"",F141+G141)</f>
        <v/>
      </c>
      <c r="I141" s="27"/>
      <c r="J141" s="27"/>
      <c r="K141" s="25"/>
    </row>
    <row r="142" customFormat="false" ht="15.75" hidden="false" customHeight="true" outlineLevel="0" collapsed="false">
      <c r="A142" s="27"/>
      <c r="B142" s="27"/>
      <c r="C142" s="27"/>
      <c r="D142" s="28"/>
      <c r="E142" s="27"/>
      <c r="F142" s="27"/>
      <c r="G142" s="27"/>
      <c r="H142" s="27" t="str">
        <f aca="false">IF(AND(F142="",G142=""),"",F142+G142)</f>
        <v/>
      </c>
      <c r="I142" s="27"/>
      <c r="J142" s="27"/>
      <c r="K142" s="25"/>
    </row>
    <row r="143" customFormat="false" ht="15.75" hidden="false" customHeight="true" outlineLevel="0" collapsed="false">
      <c r="A143" s="27"/>
      <c r="B143" s="27"/>
      <c r="C143" s="27"/>
      <c r="D143" s="28"/>
      <c r="E143" s="27"/>
      <c r="F143" s="27"/>
      <c r="G143" s="27"/>
      <c r="H143" s="27" t="str">
        <f aca="false">IF(AND(F143="",G143=""),"",F143+G143)</f>
        <v/>
      </c>
      <c r="I143" s="27"/>
      <c r="J143" s="27"/>
      <c r="K143" s="25"/>
    </row>
    <row r="144" customFormat="false" ht="15.75" hidden="false" customHeight="true" outlineLevel="0" collapsed="false">
      <c r="A144" s="27"/>
      <c r="B144" s="27"/>
      <c r="C144" s="27"/>
      <c r="D144" s="28"/>
      <c r="E144" s="27"/>
      <c r="F144" s="27"/>
      <c r="G144" s="27"/>
      <c r="H144" s="27" t="str">
        <f aca="false">IF(AND(F144="",G144=""),"",F144+G144)</f>
        <v/>
      </c>
      <c r="I144" s="27"/>
      <c r="J144" s="27"/>
      <c r="K144" s="25"/>
    </row>
    <row r="145" customFormat="false" ht="15.75" hidden="false" customHeight="true" outlineLevel="0" collapsed="false">
      <c r="A145" s="27"/>
      <c r="B145" s="27"/>
      <c r="C145" s="27"/>
      <c r="D145" s="28"/>
      <c r="E145" s="27"/>
      <c r="F145" s="27"/>
      <c r="G145" s="27"/>
      <c r="H145" s="27" t="str">
        <f aca="false">IF(AND(F145="",G145=""),"",F145+G145)</f>
        <v/>
      </c>
      <c r="I145" s="27"/>
      <c r="J145" s="27"/>
      <c r="K145" s="25"/>
    </row>
    <row r="146" customFormat="false" ht="15.75" hidden="false" customHeight="true" outlineLevel="0" collapsed="false">
      <c r="A146" s="27"/>
      <c r="B146" s="27"/>
      <c r="C146" s="27"/>
      <c r="D146" s="28"/>
      <c r="E146" s="27"/>
      <c r="F146" s="27"/>
      <c r="G146" s="27"/>
      <c r="H146" s="27" t="str">
        <f aca="false">IF(AND(F146="",G146=""),"",F146+G146)</f>
        <v/>
      </c>
      <c r="I146" s="27"/>
      <c r="J146" s="27"/>
      <c r="K146" s="25"/>
    </row>
    <row r="147" customFormat="false" ht="15.75" hidden="false" customHeight="true" outlineLevel="0" collapsed="false">
      <c r="A147" s="27"/>
      <c r="B147" s="27"/>
      <c r="C147" s="27"/>
      <c r="D147" s="28"/>
      <c r="E147" s="27"/>
      <c r="F147" s="27"/>
      <c r="G147" s="27"/>
      <c r="H147" s="27" t="str">
        <f aca="false">IF(AND(F147="",G147=""),"",F147+G147)</f>
        <v/>
      </c>
      <c r="I147" s="27"/>
      <c r="J147" s="27"/>
      <c r="K147" s="25"/>
    </row>
    <row r="148" customFormat="false" ht="15.75" hidden="false" customHeight="true" outlineLevel="0" collapsed="false">
      <c r="A148" s="27"/>
      <c r="B148" s="27"/>
      <c r="C148" s="27"/>
      <c r="D148" s="28"/>
      <c r="E148" s="27"/>
      <c r="F148" s="27"/>
      <c r="G148" s="27"/>
      <c r="H148" s="27" t="str">
        <f aca="false">IF(AND(F148="",G148=""),"",F148+G148)</f>
        <v/>
      </c>
      <c r="I148" s="27"/>
      <c r="J148" s="27"/>
      <c r="K148" s="25"/>
    </row>
    <row r="149" customFormat="false" ht="15.75" hidden="false" customHeight="true" outlineLevel="0" collapsed="false">
      <c r="A149" s="27"/>
      <c r="B149" s="27"/>
      <c r="C149" s="27"/>
      <c r="D149" s="28"/>
      <c r="E149" s="27"/>
      <c r="F149" s="27"/>
      <c r="G149" s="27"/>
      <c r="H149" s="27" t="str">
        <f aca="false">IF(AND(F149="",G149=""),"",F149+G149)</f>
        <v/>
      </c>
      <c r="I149" s="27"/>
      <c r="J149" s="27"/>
      <c r="K149" s="25"/>
    </row>
    <row r="150" customFormat="false" ht="15.75" hidden="false" customHeight="true" outlineLevel="0" collapsed="false">
      <c r="A150" s="27"/>
      <c r="B150" s="27"/>
      <c r="C150" s="27"/>
      <c r="D150" s="28"/>
      <c r="E150" s="27"/>
      <c r="F150" s="27"/>
      <c r="G150" s="27"/>
      <c r="H150" s="27" t="str">
        <f aca="false">IF(AND(F150="",G150=""),"",F150+G150)</f>
        <v/>
      </c>
      <c r="I150" s="27"/>
      <c r="J150" s="27"/>
      <c r="K150" s="25"/>
    </row>
    <row r="151" customFormat="false" ht="15.75" hidden="false" customHeight="true" outlineLevel="0" collapsed="false">
      <c r="A151" s="27"/>
      <c r="B151" s="27"/>
      <c r="C151" s="27"/>
      <c r="D151" s="28"/>
      <c r="E151" s="27"/>
      <c r="F151" s="27"/>
      <c r="G151" s="27"/>
      <c r="H151" s="27" t="str">
        <f aca="false">IF(AND(F151="",G151=""),"",F151+G151)</f>
        <v/>
      </c>
      <c r="I151" s="27"/>
      <c r="J151" s="27"/>
      <c r="K151" s="25"/>
    </row>
    <row r="152" customFormat="false" ht="15.75" hidden="false" customHeight="true" outlineLevel="0" collapsed="false">
      <c r="A152" s="27"/>
      <c r="B152" s="27"/>
      <c r="C152" s="27"/>
      <c r="D152" s="28"/>
      <c r="E152" s="27"/>
      <c r="F152" s="27"/>
      <c r="G152" s="27"/>
      <c r="H152" s="27" t="str">
        <f aca="false">IF(AND(F152="",G152=""),"",F152+G152)</f>
        <v/>
      </c>
      <c r="I152" s="27"/>
      <c r="J152" s="27"/>
      <c r="K152" s="25"/>
    </row>
  </sheetData>
  <autoFilter ref="A2:K152"/>
  <mergeCells count="1">
    <mergeCell ref="A1:K1"/>
  </mergeCells>
  <conditionalFormatting sqref="K3:K152">
    <cfRule type="expression" priority="2" aboveAverage="0" equalAverage="0" bottom="0" percent="0" rank="0" text="" dxfId="5">
      <formula>K3="Seçildi"</formula>
    </cfRule>
  </conditionalFormatting>
  <dataValidations count="5">
    <dataValidation allowBlank="true" errorStyle="stop" operator="between" prompt="Bu dönem açılacaksa ‘Seçildi’ seçin." promptTitle="Ders Seçimi" showDropDown="false" showErrorMessage="true" showInputMessage="true" sqref="K3:K152" type="list">
      <formula1>"Seçildi,Seçilmedi"</formula1>
      <formula2>0</formula2>
    </dataValidation>
    <dataValidation allowBlank="true" errorStyle="warning" operator="between" promptTitle="Yarıyıl" showDropDown="false" showErrorMessage="false" showInputMessage="false" sqref="A3:A152" type="list">
      <formula1>"1,2,3,4,5,6,7,8"</formula1>
      <formula2>0</formula2>
    </dataValidation>
    <dataValidation allowBlank="true" errorStyle="warning" operator="between" promptTitle="Sınıf" showDropDown="false" showErrorMessage="false" showInputMessage="false" sqref="B3:B152" type="list">
      <formula1>"1,2,3,4"</formula1>
      <formula2>0</formula2>
    </dataValidation>
    <dataValidation allowBlank="true" errorStyle="warning" operator="between" prompt="Z=Zorunlu, S=Seçmeli" promptTitle="Ders Durumu" showDropDown="false" showErrorMessage="false" showInputMessage="true" sqref="E3:E152" type="list">
      <formula1>"Z,S"</formula1>
      <formula2>0</formula2>
    </dataValidation>
    <dataValidation allowBlank="true" errorStyle="warning" operator="between" promptTitle="Ders Grubu" showDropDown="false" showErrorMessage="false" showInputMessage="false" sqref="J3:J152" type="list">
      <formula1>"Ana Ders,Seçmeli A,Seçmeli B,Seçmeli C,Seçmeli Havuz,ÜSD,Formasyon,Ortak Eğitim,Eşdeğer/Staj"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8"/>
    <pageSetUpPr fitToPage="true"/>
  </sheetPr>
  <dimension ref="A1:I1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40"/>
    <col collapsed="false" customWidth="true" hidden="false" outlineLevel="0" max="4" min="4" style="0" width="9"/>
    <col collapsed="false" customWidth="true" hidden="false" outlineLevel="0" max="5" min="5" style="0" width="8"/>
    <col collapsed="false" customWidth="true" hidden="false" outlineLevel="0" max="6" min="6" style="0" width="15"/>
    <col collapsed="false" customWidth="true" hidden="false" outlineLevel="0" max="7" min="7" style="0" width="9"/>
    <col collapsed="false" customWidth="true" hidden="false" outlineLevel="0" max="8" min="8" style="0" width="34"/>
    <col collapsed="false" customWidth="true" hidden="false" outlineLevel="0" max="9" min="9" style="0" width="16"/>
  </cols>
  <sheetData>
    <row r="1" customFormat="false" ht="30" hidden="false" customHeight="true" outlineLevel="0" collapsed="false">
      <c r="A1" s="23" t="s">
        <v>297</v>
      </c>
      <c r="B1" s="23"/>
      <c r="C1" s="23"/>
      <c r="D1" s="23"/>
      <c r="E1" s="23"/>
      <c r="F1" s="23"/>
      <c r="G1" s="23"/>
      <c r="H1" s="23"/>
      <c r="I1" s="23"/>
    </row>
    <row r="2" customFormat="false" ht="30" hidden="false" customHeight="true" outlineLevel="0" collapsed="false">
      <c r="A2" s="16" t="s">
        <v>298</v>
      </c>
      <c r="B2" s="16" t="s">
        <v>68</v>
      </c>
      <c r="C2" s="16" t="s">
        <v>69</v>
      </c>
      <c r="D2" s="16" t="s">
        <v>66</v>
      </c>
      <c r="E2" s="16" t="s">
        <v>67</v>
      </c>
      <c r="F2" s="16" t="s">
        <v>75</v>
      </c>
      <c r="G2" s="16" t="s">
        <v>73</v>
      </c>
      <c r="H2" s="16" t="s">
        <v>299</v>
      </c>
      <c r="I2" s="16" t="s">
        <v>28</v>
      </c>
    </row>
    <row r="3" customFormat="false" ht="15.75" hidden="false" customHeight="true" outlineLevel="0" collapsed="false">
      <c r="A3" s="17" t="str">
        <f aca="false">'1-Ders Havuzu'!K3</f>
        <v>Seçilmedi</v>
      </c>
      <c r="B3" s="17" t="str">
        <f aca="false">IF($A3="Seçildi",IF('1-Ders Havuzu'!C3="","",'1-Ders Havuzu'!C3),"")</f>
        <v/>
      </c>
      <c r="C3" s="24" t="str">
        <f aca="false">IF($A3="Seçildi",IF('1-Ders Havuzu'!D3="","",'1-Ders Havuzu'!D3),"")</f>
        <v/>
      </c>
      <c r="D3" s="17" t="str">
        <f aca="false">IF($A3="Seçildi",IF('1-Ders Havuzu'!A3="","",'1-Ders Havuzu'!A3),"")</f>
        <v/>
      </c>
      <c r="E3" s="17" t="str">
        <f aca="false">IF($A3="Seçildi",IF('1-Ders Havuzu'!B3="","",'1-Ders Havuzu'!B3),"")</f>
        <v/>
      </c>
      <c r="F3" s="17" t="str">
        <f aca="false">IF($A3="Seçildi",IF('1-Ders Havuzu'!J3="","",'1-Ders Havuzu'!J3),"")</f>
        <v/>
      </c>
      <c r="G3" s="17" t="str">
        <f aca="false">IF($A3="Seçildi",IF('1-Ders Havuzu'!H3="","",'1-Ders Havuzu'!H3),"")</f>
        <v/>
      </c>
      <c r="H3" s="22"/>
      <c r="I3" s="17" t="str">
        <f aca="false">IFERROR(IF($H3="","",INDEX('Öğretim Elemanları'!$A$4:$A$49,MATCH($H3,'Öğretim Elemanları'!$C$4:$C$49,0))),"")</f>
        <v/>
      </c>
    </row>
    <row r="4" customFormat="false" ht="15.75" hidden="false" customHeight="true" outlineLevel="0" collapsed="false">
      <c r="A4" s="19" t="str">
        <f aca="false">'1-Ders Havuzu'!K4</f>
        <v>Seçilmedi</v>
      </c>
      <c r="B4" s="19" t="str">
        <f aca="false">IF($A4="Seçildi",IF('1-Ders Havuzu'!C4="","",'1-Ders Havuzu'!C4),"")</f>
        <v/>
      </c>
      <c r="C4" s="26" t="str">
        <f aca="false">IF($A4="Seçildi",IF('1-Ders Havuzu'!D4="","",'1-Ders Havuzu'!D4),"")</f>
        <v/>
      </c>
      <c r="D4" s="19" t="str">
        <f aca="false">IF($A4="Seçildi",IF('1-Ders Havuzu'!A4="","",'1-Ders Havuzu'!A4),"")</f>
        <v/>
      </c>
      <c r="E4" s="19" t="str">
        <f aca="false">IF($A4="Seçildi",IF('1-Ders Havuzu'!B4="","",'1-Ders Havuzu'!B4),"")</f>
        <v/>
      </c>
      <c r="F4" s="19" t="str">
        <f aca="false">IF($A4="Seçildi",IF('1-Ders Havuzu'!J4="","",'1-Ders Havuzu'!J4),"")</f>
        <v/>
      </c>
      <c r="G4" s="19" t="str">
        <f aca="false">IF($A4="Seçildi",IF('1-Ders Havuzu'!H4="","",'1-Ders Havuzu'!H4),"")</f>
        <v/>
      </c>
      <c r="H4" s="22"/>
      <c r="I4" s="19" t="str">
        <f aca="false">IFERROR(IF($H4="","",INDEX('Öğretim Elemanları'!$A$4:$A$49,MATCH($H4,'Öğretim Elemanları'!$C$4:$C$49,0))),"")</f>
        <v/>
      </c>
    </row>
    <row r="5" customFormat="false" ht="15.75" hidden="false" customHeight="true" outlineLevel="0" collapsed="false">
      <c r="A5" s="17" t="str">
        <f aca="false">'1-Ders Havuzu'!K5</f>
        <v>Seçilmedi</v>
      </c>
      <c r="B5" s="17" t="str">
        <f aca="false">IF($A5="Seçildi",IF('1-Ders Havuzu'!C5="","",'1-Ders Havuzu'!C5),"")</f>
        <v/>
      </c>
      <c r="C5" s="24" t="str">
        <f aca="false">IF($A5="Seçildi",IF('1-Ders Havuzu'!D5="","",'1-Ders Havuzu'!D5),"")</f>
        <v/>
      </c>
      <c r="D5" s="17" t="str">
        <f aca="false">IF($A5="Seçildi",IF('1-Ders Havuzu'!A5="","",'1-Ders Havuzu'!A5),"")</f>
        <v/>
      </c>
      <c r="E5" s="17" t="str">
        <f aca="false">IF($A5="Seçildi",IF('1-Ders Havuzu'!B5="","",'1-Ders Havuzu'!B5),"")</f>
        <v/>
      </c>
      <c r="F5" s="17" t="str">
        <f aca="false">IF($A5="Seçildi",IF('1-Ders Havuzu'!J5="","",'1-Ders Havuzu'!J5),"")</f>
        <v/>
      </c>
      <c r="G5" s="17" t="str">
        <f aca="false">IF($A5="Seçildi",IF('1-Ders Havuzu'!H5="","",'1-Ders Havuzu'!H5),"")</f>
        <v/>
      </c>
      <c r="H5" s="22"/>
      <c r="I5" s="17" t="str">
        <f aca="false">IFERROR(IF($H5="","",INDEX('Öğretim Elemanları'!$A$4:$A$49,MATCH($H5,'Öğretim Elemanları'!$C$4:$C$49,0))),"")</f>
        <v/>
      </c>
    </row>
    <row r="6" customFormat="false" ht="15.75" hidden="false" customHeight="true" outlineLevel="0" collapsed="false">
      <c r="A6" s="19" t="str">
        <f aca="false">'1-Ders Havuzu'!K6</f>
        <v>Seçilmedi</v>
      </c>
      <c r="B6" s="19" t="str">
        <f aca="false">IF($A6="Seçildi",IF('1-Ders Havuzu'!C6="","",'1-Ders Havuzu'!C6),"")</f>
        <v/>
      </c>
      <c r="C6" s="26" t="str">
        <f aca="false">IF($A6="Seçildi",IF('1-Ders Havuzu'!D6="","",'1-Ders Havuzu'!D6),"")</f>
        <v/>
      </c>
      <c r="D6" s="19" t="str">
        <f aca="false">IF($A6="Seçildi",IF('1-Ders Havuzu'!A6="","",'1-Ders Havuzu'!A6),"")</f>
        <v/>
      </c>
      <c r="E6" s="19" t="str">
        <f aca="false">IF($A6="Seçildi",IF('1-Ders Havuzu'!B6="","",'1-Ders Havuzu'!B6),"")</f>
        <v/>
      </c>
      <c r="F6" s="19" t="str">
        <f aca="false">IF($A6="Seçildi",IF('1-Ders Havuzu'!J6="","",'1-Ders Havuzu'!J6),"")</f>
        <v/>
      </c>
      <c r="G6" s="19" t="str">
        <f aca="false">IF($A6="Seçildi",IF('1-Ders Havuzu'!H6="","",'1-Ders Havuzu'!H6),"")</f>
        <v/>
      </c>
      <c r="H6" s="22"/>
      <c r="I6" s="19" t="str">
        <f aca="false">IFERROR(IF($H6="","",INDEX('Öğretim Elemanları'!$A$4:$A$49,MATCH($H6,'Öğretim Elemanları'!$C$4:$C$49,0))),"")</f>
        <v/>
      </c>
    </row>
    <row r="7" customFormat="false" ht="15.75" hidden="false" customHeight="true" outlineLevel="0" collapsed="false">
      <c r="A7" s="17" t="str">
        <f aca="false">'1-Ders Havuzu'!K7</f>
        <v>Seçilmedi</v>
      </c>
      <c r="B7" s="17" t="str">
        <f aca="false">IF($A7="Seçildi",IF('1-Ders Havuzu'!C7="","",'1-Ders Havuzu'!C7),"")</f>
        <v/>
      </c>
      <c r="C7" s="24" t="str">
        <f aca="false">IF($A7="Seçildi",IF('1-Ders Havuzu'!D7="","",'1-Ders Havuzu'!D7),"")</f>
        <v/>
      </c>
      <c r="D7" s="17" t="str">
        <f aca="false">IF($A7="Seçildi",IF('1-Ders Havuzu'!A7="","",'1-Ders Havuzu'!A7),"")</f>
        <v/>
      </c>
      <c r="E7" s="17" t="str">
        <f aca="false">IF($A7="Seçildi",IF('1-Ders Havuzu'!B7="","",'1-Ders Havuzu'!B7),"")</f>
        <v/>
      </c>
      <c r="F7" s="17" t="str">
        <f aca="false">IF($A7="Seçildi",IF('1-Ders Havuzu'!J7="","",'1-Ders Havuzu'!J7),"")</f>
        <v/>
      </c>
      <c r="G7" s="17" t="str">
        <f aca="false">IF($A7="Seçildi",IF('1-Ders Havuzu'!H7="","",'1-Ders Havuzu'!H7),"")</f>
        <v/>
      </c>
      <c r="H7" s="22"/>
      <c r="I7" s="17" t="str">
        <f aca="false">IFERROR(IF($H7="","",INDEX('Öğretim Elemanları'!$A$4:$A$49,MATCH($H7,'Öğretim Elemanları'!$C$4:$C$49,0))),"")</f>
        <v/>
      </c>
    </row>
    <row r="8" customFormat="false" ht="15.75" hidden="false" customHeight="true" outlineLevel="0" collapsed="false">
      <c r="A8" s="19" t="str">
        <f aca="false">'1-Ders Havuzu'!K8</f>
        <v>Seçilmedi</v>
      </c>
      <c r="B8" s="19" t="str">
        <f aca="false">IF($A8="Seçildi",IF('1-Ders Havuzu'!C8="","",'1-Ders Havuzu'!C8),"")</f>
        <v/>
      </c>
      <c r="C8" s="26" t="str">
        <f aca="false">IF($A8="Seçildi",IF('1-Ders Havuzu'!D8="","",'1-Ders Havuzu'!D8),"")</f>
        <v/>
      </c>
      <c r="D8" s="19" t="str">
        <f aca="false">IF($A8="Seçildi",IF('1-Ders Havuzu'!A8="","",'1-Ders Havuzu'!A8),"")</f>
        <v/>
      </c>
      <c r="E8" s="19" t="str">
        <f aca="false">IF($A8="Seçildi",IF('1-Ders Havuzu'!B8="","",'1-Ders Havuzu'!B8),"")</f>
        <v/>
      </c>
      <c r="F8" s="19" t="str">
        <f aca="false">IF($A8="Seçildi",IF('1-Ders Havuzu'!J8="","",'1-Ders Havuzu'!J8),"")</f>
        <v/>
      </c>
      <c r="G8" s="19" t="str">
        <f aca="false">IF($A8="Seçildi",IF('1-Ders Havuzu'!H8="","",'1-Ders Havuzu'!H8),"")</f>
        <v/>
      </c>
      <c r="H8" s="22"/>
      <c r="I8" s="19" t="str">
        <f aca="false">IFERROR(IF($H8="","",INDEX('Öğretim Elemanları'!$A$4:$A$49,MATCH($H8,'Öğretim Elemanları'!$C$4:$C$49,0))),"")</f>
        <v/>
      </c>
    </row>
    <row r="9" customFormat="false" ht="15.75" hidden="false" customHeight="true" outlineLevel="0" collapsed="false">
      <c r="A9" s="17" t="str">
        <f aca="false">'1-Ders Havuzu'!K9</f>
        <v>Seçilmedi</v>
      </c>
      <c r="B9" s="17" t="str">
        <f aca="false">IF($A9="Seçildi",IF('1-Ders Havuzu'!C9="","",'1-Ders Havuzu'!C9),"")</f>
        <v/>
      </c>
      <c r="C9" s="24" t="str">
        <f aca="false">IF($A9="Seçildi",IF('1-Ders Havuzu'!D9="","",'1-Ders Havuzu'!D9),"")</f>
        <v/>
      </c>
      <c r="D9" s="17" t="str">
        <f aca="false">IF($A9="Seçildi",IF('1-Ders Havuzu'!A9="","",'1-Ders Havuzu'!A9),"")</f>
        <v/>
      </c>
      <c r="E9" s="17" t="str">
        <f aca="false">IF($A9="Seçildi",IF('1-Ders Havuzu'!B9="","",'1-Ders Havuzu'!B9),"")</f>
        <v/>
      </c>
      <c r="F9" s="17" t="str">
        <f aca="false">IF($A9="Seçildi",IF('1-Ders Havuzu'!J9="","",'1-Ders Havuzu'!J9),"")</f>
        <v/>
      </c>
      <c r="G9" s="17" t="str">
        <f aca="false">IF($A9="Seçildi",IF('1-Ders Havuzu'!H9="","",'1-Ders Havuzu'!H9),"")</f>
        <v/>
      </c>
      <c r="H9" s="22"/>
      <c r="I9" s="17" t="str">
        <f aca="false">IFERROR(IF($H9="","",INDEX('Öğretim Elemanları'!$A$4:$A$49,MATCH($H9,'Öğretim Elemanları'!$C$4:$C$49,0))),"")</f>
        <v/>
      </c>
    </row>
    <row r="10" customFormat="false" ht="15.75" hidden="false" customHeight="true" outlineLevel="0" collapsed="false">
      <c r="A10" s="19" t="str">
        <f aca="false">'1-Ders Havuzu'!K10</f>
        <v>Seçilmedi</v>
      </c>
      <c r="B10" s="19" t="str">
        <f aca="false">IF($A10="Seçildi",IF('1-Ders Havuzu'!C10="","",'1-Ders Havuzu'!C10),"")</f>
        <v/>
      </c>
      <c r="C10" s="26" t="str">
        <f aca="false">IF($A10="Seçildi",IF('1-Ders Havuzu'!D10="","",'1-Ders Havuzu'!D10),"")</f>
        <v/>
      </c>
      <c r="D10" s="19" t="str">
        <f aca="false">IF($A10="Seçildi",IF('1-Ders Havuzu'!A10="","",'1-Ders Havuzu'!A10),"")</f>
        <v/>
      </c>
      <c r="E10" s="19" t="str">
        <f aca="false">IF($A10="Seçildi",IF('1-Ders Havuzu'!B10="","",'1-Ders Havuzu'!B10),"")</f>
        <v/>
      </c>
      <c r="F10" s="19" t="str">
        <f aca="false">IF($A10="Seçildi",IF('1-Ders Havuzu'!J10="","",'1-Ders Havuzu'!J10),"")</f>
        <v/>
      </c>
      <c r="G10" s="19" t="str">
        <f aca="false">IF($A10="Seçildi",IF('1-Ders Havuzu'!H10="","",'1-Ders Havuzu'!H10),"")</f>
        <v/>
      </c>
      <c r="H10" s="22"/>
      <c r="I10" s="19" t="str">
        <f aca="false">IFERROR(IF($H10="","",INDEX('Öğretim Elemanları'!$A$4:$A$49,MATCH($H10,'Öğretim Elemanları'!$C$4:$C$49,0))),"")</f>
        <v/>
      </c>
    </row>
    <row r="11" customFormat="false" ht="15.75" hidden="false" customHeight="true" outlineLevel="0" collapsed="false">
      <c r="A11" s="17" t="str">
        <f aca="false">'1-Ders Havuzu'!K11</f>
        <v>Seçilmedi</v>
      </c>
      <c r="B11" s="17" t="str">
        <f aca="false">IF($A11="Seçildi",IF('1-Ders Havuzu'!C11="","",'1-Ders Havuzu'!C11),"")</f>
        <v/>
      </c>
      <c r="C11" s="24" t="str">
        <f aca="false">IF($A11="Seçildi",IF('1-Ders Havuzu'!D11="","",'1-Ders Havuzu'!D11),"")</f>
        <v/>
      </c>
      <c r="D11" s="17" t="str">
        <f aca="false">IF($A11="Seçildi",IF('1-Ders Havuzu'!A11="","",'1-Ders Havuzu'!A11),"")</f>
        <v/>
      </c>
      <c r="E11" s="17" t="str">
        <f aca="false">IF($A11="Seçildi",IF('1-Ders Havuzu'!B11="","",'1-Ders Havuzu'!B11),"")</f>
        <v/>
      </c>
      <c r="F11" s="17" t="str">
        <f aca="false">IF($A11="Seçildi",IF('1-Ders Havuzu'!J11="","",'1-Ders Havuzu'!J11),"")</f>
        <v/>
      </c>
      <c r="G11" s="17" t="str">
        <f aca="false">IF($A11="Seçildi",IF('1-Ders Havuzu'!H11="","",'1-Ders Havuzu'!H11),"")</f>
        <v/>
      </c>
      <c r="H11" s="22"/>
      <c r="I11" s="17" t="str">
        <f aca="false">IFERROR(IF($H11="","",INDEX('Öğretim Elemanları'!$A$4:$A$49,MATCH($H11,'Öğretim Elemanları'!$C$4:$C$49,0))),"")</f>
        <v/>
      </c>
    </row>
    <row r="12" customFormat="false" ht="15.75" hidden="false" customHeight="true" outlineLevel="0" collapsed="false">
      <c r="A12" s="19" t="str">
        <f aca="false">'1-Ders Havuzu'!K12</f>
        <v>Seçilmedi</v>
      </c>
      <c r="B12" s="19" t="str">
        <f aca="false">IF($A12="Seçildi",IF('1-Ders Havuzu'!C12="","",'1-Ders Havuzu'!C12),"")</f>
        <v/>
      </c>
      <c r="C12" s="26" t="str">
        <f aca="false">IF($A12="Seçildi",IF('1-Ders Havuzu'!D12="","",'1-Ders Havuzu'!D12),"")</f>
        <v/>
      </c>
      <c r="D12" s="19" t="str">
        <f aca="false">IF($A12="Seçildi",IF('1-Ders Havuzu'!A12="","",'1-Ders Havuzu'!A12),"")</f>
        <v/>
      </c>
      <c r="E12" s="19" t="str">
        <f aca="false">IF($A12="Seçildi",IF('1-Ders Havuzu'!B12="","",'1-Ders Havuzu'!B12),"")</f>
        <v/>
      </c>
      <c r="F12" s="19" t="str">
        <f aca="false">IF($A12="Seçildi",IF('1-Ders Havuzu'!J12="","",'1-Ders Havuzu'!J12),"")</f>
        <v/>
      </c>
      <c r="G12" s="19" t="str">
        <f aca="false">IF($A12="Seçildi",IF('1-Ders Havuzu'!H12="","",'1-Ders Havuzu'!H12),"")</f>
        <v/>
      </c>
      <c r="H12" s="22"/>
      <c r="I12" s="19" t="str">
        <f aca="false">IFERROR(IF($H12="","",INDEX('Öğretim Elemanları'!$A$4:$A$49,MATCH($H12,'Öğretim Elemanları'!$C$4:$C$49,0))),"")</f>
        <v/>
      </c>
    </row>
    <row r="13" customFormat="false" ht="15.75" hidden="false" customHeight="true" outlineLevel="0" collapsed="false">
      <c r="A13" s="17" t="str">
        <f aca="false">'1-Ders Havuzu'!K13</f>
        <v>Seçilmedi</v>
      </c>
      <c r="B13" s="17" t="str">
        <f aca="false">IF($A13="Seçildi",IF('1-Ders Havuzu'!C13="","",'1-Ders Havuzu'!C13),"")</f>
        <v/>
      </c>
      <c r="C13" s="24" t="str">
        <f aca="false">IF($A13="Seçildi",IF('1-Ders Havuzu'!D13="","",'1-Ders Havuzu'!D13),"")</f>
        <v/>
      </c>
      <c r="D13" s="17" t="str">
        <f aca="false">IF($A13="Seçildi",IF('1-Ders Havuzu'!A13="","",'1-Ders Havuzu'!A13),"")</f>
        <v/>
      </c>
      <c r="E13" s="17" t="str">
        <f aca="false">IF($A13="Seçildi",IF('1-Ders Havuzu'!B13="","",'1-Ders Havuzu'!B13),"")</f>
        <v/>
      </c>
      <c r="F13" s="17" t="str">
        <f aca="false">IF($A13="Seçildi",IF('1-Ders Havuzu'!J13="","",'1-Ders Havuzu'!J13),"")</f>
        <v/>
      </c>
      <c r="G13" s="17" t="str">
        <f aca="false">IF($A13="Seçildi",IF('1-Ders Havuzu'!H13="","",'1-Ders Havuzu'!H13),"")</f>
        <v/>
      </c>
      <c r="H13" s="22"/>
      <c r="I13" s="17" t="str">
        <f aca="false">IFERROR(IF($H13="","",INDEX('Öğretim Elemanları'!$A$4:$A$49,MATCH($H13,'Öğretim Elemanları'!$C$4:$C$49,0))),"")</f>
        <v/>
      </c>
    </row>
    <row r="14" customFormat="false" ht="15.75" hidden="false" customHeight="true" outlineLevel="0" collapsed="false">
      <c r="A14" s="19" t="str">
        <f aca="false">'1-Ders Havuzu'!K14</f>
        <v>Seçilmedi</v>
      </c>
      <c r="B14" s="19" t="str">
        <f aca="false">IF($A14="Seçildi",IF('1-Ders Havuzu'!C14="","",'1-Ders Havuzu'!C14),"")</f>
        <v/>
      </c>
      <c r="C14" s="26" t="str">
        <f aca="false">IF($A14="Seçildi",IF('1-Ders Havuzu'!D14="","",'1-Ders Havuzu'!D14),"")</f>
        <v/>
      </c>
      <c r="D14" s="19" t="str">
        <f aca="false">IF($A14="Seçildi",IF('1-Ders Havuzu'!A14="","",'1-Ders Havuzu'!A14),"")</f>
        <v/>
      </c>
      <c r="E14" s="19" t="str">
        <f aca="false">IF($A14="Seçildi",IF('1-Ders Havuzu'!B14="","",'1-Ders Havuzu'!B14),"")</f>
        <v/>
      </c>
      <c r="F14" s="19" t="str">
        <f aca="false">IF($A14="Seçildi",IF('1-Ders Havuzu'!J14="","",'1-Ders Havuzu'!J14),"")</f>
        <v/>
      </c>
      <c r="G14" s="19" t="str">
        <f aca="false">IF($A14="Seçildi",IF('1-Ders Havuzu'!H14="","",'1-Ders Havuzu'!H14),"")</f>
        <v/>
      </c>
      <c r="H14" s="22"/>
      <c r="I14" s="19" t="str">
        <f aca="false">IFERROR(IF($H14="","",INDEX('Öğretim Elemanları'!$A$4:$A$49,MATCH($H14,'Öğretim Elemanları'!$C$4:$C$49,0))),"")</f>
        <v/>
      </c>
    </row>
    <row r="15" customFormat="false" ht="15.75" hidden="false" customHeight="true" outlineLevel="0" collapsed="false">
      <c r="A15" s="17" t="str">
        <f aca="false">'1-Ders Havuzu'!K15</f>
        <v>Seçilmedi</v>
      </c>
      <c r="B15" s="17" t="str">
        <f aca="false">IF($A15="Seçildi",IF('1-Ders Havuzu'!C15="","",'1-Ders Havuzu'!C15),"")</f>
        <v/>
      </c>
      <c r="C15" s="24" t="str">
        <f aca="false">IF($A15="Seçildi",IF('1-Ders Havuzu'!D15="","",'1-Ders Havuzu'!D15),"")</f>
        <v/>
      </c>
      <c r="D15" s="17" t="str">
        <f aca="false">IF($A15="Seçildi",IF('1-Ders Havuzu'!A15="","",'1-Ders Havuzu'!A15),"")</f>
        <v/>
      </c>
      <c r="E15" s="17" t="str">
        <f aca="false">IF($A15="Seçildi",IF('1-Ders Havuzu'!B15="","",'1-Ders Havuzu'!B15),"")</f>
        <v/>
      </c>
      <c r="F15" s="17" t="str">
        <f aca="false">IF($A15="Seçildi",IF('1-Ders Havuzu'!J15="","",'1-Ders Havuzu'!J15),"")</f>
        <v/>
      </c>
      <c r="G15" s="17" t="str">
        <f aca="false">IF($A15="Seçildi",IF('1-Ders Havuzu'!H15="","",'1-Ders Havuzu'!H15),"")</f>
        <v/>
      </c>
      <c r="H15" s="22"/>
      <c r="I15" s="17" t="str">
        <f aca="false">IFERROR(IF($H15="","",INDEX('Öğretim Elemanları'!$A$4:$A$49,MATCH($H15,'Öğretim Elemanları'!$C$4:$C$49,0))),"")</f>
        <v/>
      </c>
    </row>
    <row r="16" customFormat="false" ht="15.75" hidden="false" customHeight="true" outlineLevel="0" collapsed="false">
      <c r="A16" s="19" t="str">
        <f aca="false">'1-Ders Havuzu'!K16</f>
        <v>Seçilmedi</v>
      </c>
      <c r="B16" s="19" t="str">
        <f aca="false">IF($A16="Seçildi",IF('1-Ders Havuzu'!C16="","",'1-Ders Havuzu'!C16),"")</f>
        <v/>
      </c>
      <c r="C16" s="26" t="str">
        <f aca="false">IF($A16="Seçildi",IF('1-Ders Havuzu'!D16="","",'1-Ders Havuzu'!D16),"")</f>
        <v/>
      </c>
      <c r="D16" s="19" t="str">
        <f aca="false">IF($A16="Seçildi",IF('1-Ders Havuzu'!A16="","",'1-Ders Havuzu'!A16),"")</f>
        <v/>
      </c>
      <c r="E16" s="19" t="str">
        <f aca="false">IF($A16="Seçildi",IF('1-Ders Havuzu'!B16="","",'1-Ders Havuzu'!B16),"")</f>
        <v/>
      </c>
      <c r="F16" s="19" t="str">
        <f aca="false">IF($A16="Seçildi",IF('1-Ders Havuzu'!J16="","",'1-Ders Havuzu'!J16),"")</f>
        <v/>
      </c>
      <c r="G16" s="19" t="str">
        <f aca="false">IF($A16="Seçildi",IF('1-Ders Havuzu'!H16="","",'1-Ders Havuzu'!H16),"")</f>
        <v/>
      </c>
      <c r="H16" s="22"/>
      <c r="I16" s="19" t="str">
        <f aca="false">IFERROR(IF($H16="","",INDEX('Öğretim Elemanları'!$A$4:$A$49,MATCH($H16,'Öğretim Elemanları'!$C$4:$C$49,0))),"")</f>
        <v/>
      </c>
    </row>
    <row r="17" customFormat="false" ht="15.75" hidden="false" customHeight="true" outlineLevel="0" collapsed="false">
      <c r="A17" s="17" t="str">
        <f aca="false">'1-Ders Havuzu'!K17</f>
        <v>Seçilmedi</v>
      </c>
      <c r="B17" s="17" t="str">
        <f aca="false">IF($A17="Seçildi",IF('1-Ders Havuzu'!C17="","",'1-Ders Havuzu'!C17),"")</f>
        <v/>
      </c>
      <c r="C17" s="24" t="str">
        <f aca="false">IF($A17="Seçildi",IF('1-Ders Havuzu'!D17="","",'1-Ders Havuzu'!D17),"")</f>
        <v/>
      </c>
      <c r="D17" s="17" t="str">
        <f aca="false">IF($A17="Seçildi",IF('1-Ders Havuzu'!A17="","",'1-Ders Havuzu'!A17),"")</f>
        <v/>
      </c>
      <c r="E17" s="17" t="str">
        <f aca="false">IF($A17="Seçildi",IF('1-Ders Havuzu'!B17="","",'1-Ders Havuzu'!B17),"")</f>
        <v/>
      </c>
      <c r="F17" s="17" t="str">
        <f aca="false">IF($A17="Seçildi",IF('1-Ders Havuzu'!J17="","",'1-Ders Havuzu'!J17),"")</f>
        <v/>
      </c>
      <c r="G17" s="17" t="str">
        <f aca="false">IF($A17="Seçildi",IF('1-Ders Havuzu'!H17="","",'1-Ders Havuzu'!H17),"")</f>
        <v/>
      </c>
      <c r="H17" s="22"/>
      <c r="I17" s="17" t="str">
        <f aca="false">IFERROR(IF($H17="","",INDEX('Öğretim Elemanları'!$A$4:$A$49,MATCH($H17,'Öğretim Elemanları'!$C$4:$C$49,0))),"")</f>
        <v/>
      </c>
    </row>
    <row r="18" customFormat="false" ht="15.75" hidden="false" customHeight="true" outlineLevel="0" collapsed="false">
      <c r="A18" s="19" t="str">
        <f aca="false">'1-Ders Havuzu'!K18</f>
        <v>Seçilmedi</v>
      </c>
      <c r="B18" s="19" t="str">
        <f aca="false">IF($A18="Seçildi",IF('1-Ders Havuzu'!C18="","",'1-Ders Havuzu'!C18),"")</f>
        <v/>
      </c>
      <c r="C18" s="26" t="str">
        <f aca="false">IF($A18="Seçildi",IF('1-Ders Havuzu'!D18="","",'1-Ders Havuzu'!D18),"")</f>
        <v/>
      </c>
      <c r="D18" s="19" t="str">
        <f aca="false">IF($A18="Seçildi",IF('1-Ders Havuzu'!A18="","",'1-Ders Havuzu'!A18),"")</f>
        <v/>
      </c>
      <c r="E18" s="19" t="str">
        <f aca="false">IF($A18="Seçildi",IF('1-Ders Havuzu'!B18="","",'1-Ders Havuzu'!B18),"")</f>
        <v/>
      </c>
      <c r="F18" s="19" t="str">
        <f aca="false">IF($A18="Seçildi",IF('1-Ders Havuzu'!J18="","",'1-Ders Havuzu'!J18),"")</f>
        <v/>
      </c>
      <c r="G18" s="19" t="str">
        <f aca="false">IF($A18="Seçildi",IF('1-Ders Havuzu'!H18="","",'1-Ders Havuzu'!H18),"")</f>
        <v/>
      </c>
      <c r="H18" s="22"/>
      <c r="I18" s="19" t="str">
        <f aca="false">IFERROR(IF($H18="","",INDEX('Öğretim Elemanları'!$A$4:$A$49,MATCH($H18,'Öğretim Elemanları'!$C$4:$C$49,0))),"")</f>
        <v/>
      </c>
    </row>
    <row r="19" customFormat="false" ht="15.75" hidden="false" customHeight="true" outlineLevel="0" collapsed="false">
      <c r="A19" s="17" t="str">
        <f aca="false">'1-Ders Havuzu'!K19</f>
        <v>Seçilmedi</v>
      </c>
      <c r="B19" s="17" t="str">
        <f aca="false">IF($A19="Seçildi",IF('1-Ders Havuzu'!C19="","",'1-Ders Havuzu'!C19),"")</f>
        <v/>
      </c>
      <c r="C19" s="24" t="str">
        <f aca="false">IF($A19="Seçildi",IF('1-Ders Havuzu'!D19="","",'1-Ders Havuzu'!D19),"")</f>
        <v/>
      </c>
      <c r="D19" s="17" t="str">
        <f aca="false">IF($A19="Seçildi",IF('1-Ders Havuzu'!A19="","",'1-Ders Havuzu'!A19),"")</f>
        <v/>
      </c>
      <c r="E19" s="17" t="str">
        <f aca="false">IF($A19="Seçildi",IF('1-Ders Havuzu'!B19="","",'1-Ders Havuzu'!B19),"")</f>
        <v/>
      </c>
      <c r="F19" s="17" t="str">
        <f aca="false">IF($A19="Seçildi",IF('1-Ders Havuzu'!J19="","",'1-Ders Havuzu'!J19),"")</f>
        <v/>
      </c>
      <c r="G19" s="17" t="str">
        <f aca="false">IF($A19="Seçildi",IF('1-Ders Havuzu'!H19="","",'1-Ders Havuzu'!H19),"")</f>
        <v/>
      </c>
      <c r="H19" s="22"/>
      <c r="I19" s="17" t="str">
        <f aca="false">IFERROR(IF($H19="","",INDEX('Öğretim Elemanları'!$A$4:$A$49,MATCH($H19,'Öğretim Elemanları'!$C$4:$C$49,0))),"")</f>
        <v/>
      </c>
    </row>
    <row r="20" customFormat="false" ht="15.75" hidden="false" customHeight="true" outlineLevel="0" collapsed="false">
      <c r="A20" s="19" t="str">
        <f aca="false">'1-Ders Havuzu'!K20</f>
        <v>Seçilmedi</v>
      </c>
      <c r="B20" s="19" t="str">
        <f aca="false">IF($A20="Seçildi",IF('1-Ders Havuzu'!C20="","",'1-Ders Havuzu'!C20),"")</f>
        <v/>
      </c>
      <c r="C20" s="26" t="str">
        <f aca="false">IF($A20="Seçildi",IF('1-Ders Havuzu'!D20="","",'1-Ders Havuzu'!D20),"")</f>
        <v/>
      </c>
      <c r="D20" s="19" t="str">
        <f aca="false">IF($A20="Seçildi",IF('1-Ders Havuzu'!A20="","",'1-Ders Havuzu'!A20),"")</f>
        <v/>
      </c>
      <c r="E20" s="19" t="str">
        <f aca="false">IF($A20="Seçildi",IF('1-Ders Havuzu'!B20="","",'1-Ders Havuzu'!B20),"")</f>
        <v/>
      </c>
      <c r="F20" s="19" t="str">
        <f aca="false">IF($A20="Seçildi",IF('1-Ders Havuzu'!J20="","",'1-Ders Havuzu'!J20),"")</f>
        <v/>
      </c>
      <c r="G20" s="19" t="str">
        <f aca="false">IF($A20="Seçildi",IF('1-Ders Havuzu'!H20="","",'1-Ders Havuzu'!H20),"")</f>
        <v/>
      </c>
      <c r="H20" s="22"/>
      <c r="I20" s="19" t="str">
        <f aca="false">IFERROR(IF($H20="","",INDEX('Öğretim Elemanları'!$A$4:$A$49,MATCH($H20,'Öğretim Elemanları'!$C$4:$C$49,0))),"")</f>
        <v/>
      </c>
    </row>
    <row r="21" customFormat="false" ht="15.75" hidden="false" customHeight="true" outlineLevel="0" collapsed="false">
      <c r="A21" s="17" t="str">
        <f aca="false">'1-Ders Havuzu'!K21</f>
        <v>Seçilmedi</v>
      </c>
      <c r="B21" s="17" t="str">
        <f aca="false">IF($A21="Seçildi",IF('1-Ders Havuzu'!C21="","",'1-Ders Havuzu'!C21),"")</f>
        <v/>
      </c>
      <c r="C21" s="24" t="str">
        <f aca="false">IF($A21="Seçildi",IF('1-Ders Havuzu'!D21="","",'1-Ders Havuzu'!D21),"")</f>
        <v/>
      </c>
      <c r="D21" s="17" t="str">
        <f aca="false">IF($A21="Seçildi",IF('1-Ders Havuzu'!A21="","",'1-Ders Havuzu'!A21),"")</f>
        <v/>
      </c>
      <c r="E21" s="17" t="str">
        <f aca="false">IF($A21="Seçildi",IF('1-Ders Havuzu'!B21="","",'1-Ders Havuzu'!B21),"")</f>
        <v/>
      </c>
      <c r="F21" s="17" t="str">
        <f aca="false">IF($A21="Seçildi",IF('1-Ders Havuzu'!J21="","",'1-Ders Havuzu'!J21),"")</f>
        <v/>
      </c>
      <c r="G21" s="17" t="str">
        <f aca="false">IF($A21="Seçildi",IF('1-Ders Havuzu'!H21="","",'1-Ders Havuzu'!H21),"")</f>
        <v/>
      </c>
      <c r="H21" s="22"/>
      <c r="I21" s="17" t="str">
        <f aca="false">IFERROR(IF($H21="","",INDEX('Öğretim Elemanları'!$A$4:$A$49,MATCH($H21,'Öğretim Elemanları'!$C$4:$C$49,0))),"")</f>
        <v/>
      </c>
    </row>
    <row r="22" customFormat="false" ht="15.75" hidden="false" customHeight="true" outlineLevel="0" collapsed="false">
      <c r="A22" s="19" t="str">
        <f aca="false">'1-Ders Havuzu'!K22</f>
        <v>Seçilmedi</v>
      </c>
      <c r="B22" s="19" t="str">
        <f aca="false">IF($A22="Seçildi",IF('1-Ders Havuzu'!C22="","",'1-Ders Havuzu'!C22),"")</f>
        <v/>
      </c>
      <c r="C22" s="26" t="str">
        <f aca="false">IF($A22="Seçildi",IF('1-Ders Havuzu'!D22="","",'1-Ders Havuzu'!D22),"")</f>
        <v/>
      </c>
      <c r="D22" s="19" t="str">
        <f aca="false">IF($A22="Seçildi",IF('1-Ders Havuzu'!A22="","",'1-Ders Havuzu'!A22),"")</f>
        <v/>
      </c>
      <c r="E22" s="19" t="str">
        <f aca="false">IF($A22="Seçildi",IF('1-Ders Havuzu'!B22="","",'1-Ders Havuzu'!B22),"")</f>
        <v/>
      </c>
      <c r="F22" s="19" t="str">
        <f aca="false">IF($A22="Seçildi",IF('1-Ders Havuzu'!J22="","",'1-Ders Havuzu'!J22),"")</f>
        <v/>
      </c>
      <c r="G22" s="19" t="str">
        <f aca="false">IF($A22="Seçildi",IF('1-Ders Havuzu'!H22="","",'1-Ders Havuzu'!H22),"")</f>
        <v/>
      </c>
      <c r="H22" s="22"/>
      <c r="I22" s="19" t="str">
        <f aca="false">IFERROR(IF($H22="","",INDEX('Öğretim Elemanları'!$A$4:$A$49,MATCH($H22,'Öğretim Elemanları'!$C$4:$C$49,0))),"")</f>
        <v/>
      </c>
    </row>
    <row r="23" customFormat="false" ht="15.75" hidden="false" customHeight="true" outlineLevel="0" collapsed="false">
      <c r="A23" s="17" t="str">
        <f aca="false">'1-Ders Havuzu'!K23</f>
        <v>Seçilmedi</v>
      </c>
      <c r="B23" s="17" t="str">
        <f aca="false">IF($A23="Seçildi",IF('1-Ders Havuzu'!C23="","",'1-Ders Havuzu'!C23),"")</f>
        <v/>
      </c>
      <c r="C23" s="24" t="str">
        <f aca="false">IF($A23="Seçildi",IF('1-Ders Havuzu'!D23="","",'1-Ders Havuzu'!D23),"")</f>
        <v/>
      </c>
      <c r="D23" s="17" t="str">
        <f aca="false">IF($A23="Seçildi",IF('1-Ders Havuzu'!A23="","",'1-Ders Havuzu'!A23),"")</f>
        <v/>
      </c>
      <c r="E23" s="17" t="str">
        <f aca="false">IF($A23="Seçildi",IF('1-Ders Havuzu'!B23="","",'1-Ders Havuzu'!B23),"")</f>
        <v/>
      </c>
      <c r="F23" s="17" t="str">
        <f aca="false">IF($A23="Seçildi",IF('1-Ders Havuzu'!J23="","",'1-Ders Havuzu'!J23),"")</f>
        <v/>
      </c>
      <c r="G23" s="17" t="str">
        <f aca="false">IF($A23="Seçildi",IF('1-Ders Havuzu'!H23="","",'1-Ders Havuzu'!H23),"")</f>
        <v/>
      </c>
      <c r="H23" s="22"/>
      <c r="I23" s="17" t="str">
        <f aca="false">IFERROR(IF($H23="","",INDEX('Öğretim Elemanları'!$A$4:$A$49,MATCH($H23,'Öğretim Elemanları'!$C$4:$C$49,0))),"")</f>
        <v/>
      </c>
    </row>
    <row r="24" customFormat="false" ht="15.75" hidden="false" customHeight="true" outlineLevel="0" collapsed="false">
      <c r="A24" s="19" t="str">
        <f aca="false">'1-Ders Havuzu'!K24</f>
        <v>Seçilmedi</v>
      </c>
      <c r="B24" s="19" t="str">
        <f aca="false">IF($A24="Seçildi",IF('1-Ders Havuzu'!C24="","",'1-Ders Havuzu'!C24),"")</f>
        <v/>
      </c>
      <c r="C24" s="26" t="str">
        <f aca="false">IF($A24="Seçildi",IF('1-Ders Havuzu'!D24="","",'1-Ders Havuzu'!D24),"")</f>
        <v/>
      </c>
      <c r="D24" s="19" t="str">
        <f aca="false">IF($A24="Seçildi",IF('1-Ders Havuzu'!A24="","",'1-Ders Havuzu'!A24),"")</f>
        <v/>
      </c>
      <c r="E24" s="19" t="str">
        <f aca="false">IF($A24="Seçildi",IF('1-Ders Havuzu'!B24="","",'1-Ders Havuzu'!B24),"")</f>
        <v/>
      </c>
      <c r="F24" s="19" t="str">
        <f aca="false">IF($A24="Seçildi",IF('1-Ders Havuzu'!J24="","",'1-Ders Havuzu'!J24),"")</f>
        <v/>
      </c>
      <c r="G24" s="19" t="str">
        <f aca="false">IF($A24="Seçildi",IF('1-Ders Havuzu'!H24="","",'1-Ders Havuzu'!H24),"")</f>
        <v/>
      </c>
      <c r="H24" s="22"/>
      <c r="I24" s="19" t="str">
        <f aca="false">IFERROR(IF($H24="","",INDEX('Öğretim Elemanları'!$A$4:$A$49,MATCH($H24,'Öğretim Elemanları'!$C$4:$C$49,0))),"")</f>
        <v/>
      </c>
    </row>
    <row r="25" customFormat="false" ht="15.75" hidden="false" customHeight="true" outlineLevel="0" collapsed="false">
      <c r="A25" s="17" t="str">
        <f aca="false">'1-Ders Havuzu'!K25</f>
        <v>Seçilmedi</v>
      </c>
      <c r="B25" s="17" t="str">
        <f aca="false">IF($A25="Seçildi",IF('1-Ders Havuzu'!C25="","",'1-Ders Havuzu'!C25),"")</f>
        <v/>
      </c>
      <c r="C25" s="24" t="str">
        <f aca="false">IF($A25="Seçildi",IF('1-Ders Havuzu'!D25="","",'1-Ders Havuzu'!D25),"")</f>
        <v/>
      </c>
      <c r="D25" s="17" t="str">
        <f aca="false">IF($A25="Seçildi",IF('1-Ders Havuzu'!A25="","",'1-Ders Havuzu'!A25),"")</f>
        <v/>
      </c>
      <c r="E25" s="17" t="str">
        <f aca="false">IF($A25="Seçildi",IF('1-Ders Havuzu'!B25="","",'1-Ders Havuzu'!B25),"")</f>
        <v/>
      </c>
      <c r="F25" s="17" t="str">
        <f aca="false">IF($A25="Seçildi",IF('1-Ders Havuzu'!J25="","",'1-Ders Havuzu'!J25),"")</f>
        <v/>
      </c>
      <c r="G25" s="17" t="str">
        <f aca="false">IF($A25="Seçildi",IF('1-Ders Havuzu'!H25="","",'1-Ders Havuzu'!H25),"")</f>
        <v/>
      </c>
      <c r="H25" s="22"/>
      <c r="I25" s="17" t="str">
        <f aca="false">IFERROR(IF($H25="","",INDEX('Öğretim Elemanları'!$A$4:$A$49,MATCH($H25,'Öğretim Elemanları'!$C$4:$C$49,0))),"")</f>
        <v/>
      </c>
    </row>
    <row r="26" customFormat="false" ht="15.75" hidden="false" customHeight="true" outlineLevel="0" collapsed="false">
      <c r="A26" s="19" t="str">
        <f aca="false">'1-Ders Havuzu'!K26</f>
        <v>Seçilmedi</v>
      </c>
      <c r="B26" s="19" t="str">
        <f aca="false">IF($A26="Seçildi",IF('1-Ders Havuzu'!C26="","",'1-Ders Havuzu'!C26),"")</f>
        <v/>
      </c>
      <c r="C26" s="26" t="str">
        <f aca="false">IF($A26="Seçildi",IF('1-Ders Havuzu'!D26="","",'1-Ders Havuzu'!D26),"")</f>
        <v/>
      </c>
      <c r="D26" s="19" t="str">
        <f aca="false">IF($A26="Seçildi",IF('1-Ders Havuzu'!A26="","",'1-Ders Havuzu'!A26),"")</f>
        <v/>
      </c>
      <c r="E26" s="19" t="str">
        <f aca="false">IF($A26="Seçildi",IF('1-Ders Havuzu'!B26="","",'1-Ders Havuzu'!B26),"")</f>
        <v/>
      </c>
      <c r="F26" s="19" t="str">
        <f aca="false">IF($A26="Seçildi",IF('1-Ders Havuzu'!J26="","",'1-Ders Havuzu'!J26),"")</f>
        <v/>
      </c>
      <c r="G26" s="19" t="str">
        <f aca="false">IF($A26="Seçildi",IF('1-Ders Havuzu'!H26="","",'1-Ders Havuzu'!H26),"")</f>
        <v/>
      </c>
      <c r="H26" s="22"/>
      <c r="I26" s="19" t="str">
        <f aca="false">IFERROR(IF($H26="","",INDEX('Öğretim Elemanları'!$A$4:$A$49,MATCH($H26,'Öğretim Elemanları'!$C$4:$C$49,0))),"")</f>
        <v/>
      </c>
    </row>
    <row r="27" customFormat="false" ht="15.75" hidden="false" customHeight="true" outlineLevel="0" collapsed="false">
      <c r="A27" s="17" t="str">
        <f aca="false">'1-Ders Havuzu'!K27</f>
        <v>Seçilmedi</v>
      </c>
      <c r="B27" s="17" t="str">
        <f aca="false">IF($A27="Seçildi",IF('1-Ders Havuzu'!C27="","",'1-Ders Havuzu'!C27),"")</f>
        <v/>
      </c>
      <c r="C27" s="24" t="str">
        <f aca="false">IF($A27="Seçildi",IF('1-Ders Havuzu'!D27="","",'1-Ders Havuzu'!D27),"")</f>
        <v/>
      </c>
      <c r="D27" s="17" t="str">
        <f aca="false">IF($A27="Seçildi",IF('1-Ders Havuzu'!A27="","",'1-Ders Havuzu'!A27),"")</f>
        <v/>
      </c>
      <c r="E27" s="17" t="str">
        <f aca="false">IF($A27="Seçildi",IF('1-Ders Havuzu'!B27="","",'1-Ders Havuzu'!B27),"")</f>
        <v/>
      </c>
      <c r="F27" s="17" t="str">
        <f aca="false">IF($A27="Seçildi",IF('1-Ders Havuzu'!J27="","",'1-Ders Havuzu'!J27),"")</f>
        <v/>
      </c>
      <c r="G27" s="17" t="str">
        <f aca="false">IF($A27="Seçildi",IF('1-Ders Havuzu'!H27="","",'1-Ders Havuzu'!H27),"")</f>
        <v/>
      </c>
      <c r="H27" s="22"/>
      <c r="I27" s="17" t="str">
        <f aca="false">IFERROR(IF($H27="","",INDEX('Öğretim Elemanları'!$A$4:$A$49,MATCH($H27,'Öğretim Elemanları'!$C$4:$C$49,0))),"")</f>
        <v/>
      </c>
    </row>
    <row r="28" customFormat="false" ht="15.75" hidden="false" customHeight="true" outlineLevel="0" collapsed="false">
      <c r="A28" s="19" t="str">
        <f aca="false">'1-Ders Havuzu'!K28</f>
        <v>Seçilmedi</v>
      </c>
      <c r="B28" s="19" t="str">
        <f aca="false">IF($A28="Seçildi",IF('1-Ders Havuzu'!C28="","",'1-Ders Havuzu'!C28),"")</f>
        <v/>
      </c>
      <c r="C28" s="26" t="str">
        <f aca="false">IF($A28="Seçildi",IF('1-Ders Havuzu'!D28="","",'1-Ders Havuzu'!D28),"")</f>
        <v/>
      </c>
      <c r="D28" s="19" t="str">
        <f aca="false">IF($A28="Seçildi",IF('1-Ders Havuzu'!A28="","",'1-Ders Havuzu'!A28),"")</f>
        <v/>
      </c>
      <c r="E28" s="19" t="str">
        <f aca="false">IF($A28="Seçildi",IF('1-Ders Havuzu'!B28="","",'1-Ders Havuzu'!B28),"")</f>
        <v/>
      </c>
      <c r="F28" s="19" t="str">
        <f aca="false">IF($A28="Seçildi",IF('1-Ders Havuzu'!J28="","",'1-Ders Havuzu'!J28),"")</f>
        <v/>
      </c>
      <c r="G28" s="19" t="str">
        <f aca="false">IF($A28="Seçildi",IF('1-Ders Havuzu'!H28="","",'1-Ders Havuzu'!H28),"")</f>
        <v/>
      </c>
      <c r="H28" s="22"/>
      <c r="I28" s="19" t="str">
        <f aca="false">IFERROR(IF($H28="","",INDEX('Öğretim Elemanları'!$A$4:$A$49,MATCH($H28,'Öğretim Elemanları'!$C$4:$C$49,0))),"")</f>
        <v/>
      </c>
    </row>
    <row r="29" customFormat="false" ht="15.75" hidden="false" customHeight="true" outlineLevel="0" collapsed="false">
      <c r="A29" s="17" t="str">
        <f aca="false">'1-Ders Havuzu'!K29</f>
        <v>Seçilmedi</v>
      </c>
      <c r="B29" s="17" t="str">
        <f aca="false">IF($A29="Seçildi",IF('1-Ders Havuzu'!C29="","",'1-Ders Havuzu'!C29),"")</f>
        <v/>
      </c>
      <c r="C29" s="24" t="str">
        <f aca="false">IF($A29="Seçildi",IF('1-Ders Havuzu'!D29="","",'1-Ders Havuzu'!D29),"")</f>
        <v/>
      </c>
      <c r="D29" s="17" t="str">
        <f aca="false">IF($A29="Seçildi",IF('1-Ders Havuzu'!A29="","",'1-Ders Havuzu'!A29),"")</f>
        <v/>
      </c>
      <c r="E29" s="17" t="str">
        <f aca="false">IF($A29="Seçildi",IF('1-Ders Havuzu'!B29="","",'1-Ders Havuzu'!B29),"")</f>
        <v/>
      </c>
      <c r="F29" s="17" t="str">
        <f aca="false">IF($A29="Seçildi",IF('1-Ders Havuzu'!J29="","",'1-Ders Havuzu'!J29),"")</f>
        <v/>
      </c>
      <c r="G29" s="17" t="str">
        <f aca="false">IF($A29="Seçildi",IF('1-Ders Havuzu'!H29="","",'1-Ders Havuzu'!H29),"")</f>
        <v/>
      </c>
      <c r="H29" s="22"/>
      <c r="I29" s="17" t="str">
        <f aca="false">IFERROR(IF($H29="","",INDEX('Öğretim Elemanları'!$A$4:$A$49,MATCH($H29,'Öğretim Elemanları'!$C$4:$C$49,0))),"")</f>
        <v/>
      </c>
    </row>
    <row r="30" customFormat="false" ht="15.75" hidden="false" customHeight="true" outlineLevel="0" collapsed="false">
      <c r="A30" s="19" t="str">
        <f aca="false">'1-Ders Havuzu'!K30</f>
        <v>Seçilmedi</v>
      </c>
      <c r="B30" s="19" t="str">
        <f aca="false">IF($A30="Seçildi",IF('1-Ders Havuzu'!C30="","",'1-Ders Havuzu'!C30),"")</f>
        <v/>
      </c>
      <c r="C30" s="26" t="str">
        <f aca="false">IF($A30="Seçildi",IF('1-Ders Havuzu'!D30="","",'1-Ders Havuzu'!D30),"")</f>
        <v/>
      </c>
      <c r="D30" s="19" t="str">
        <f aca="false">IF($A30="Seçildi",IF('1-Ders Havuzu'!A30="","",'1-Ders Havuzu'!A30),"")</f>
        <v/>
      </c>
      <c r="E30" s="19" t="str">
        <f aca="false">IF($A30="Seçildi",IF('1-Ders Havuzu'!B30="","",'1-Ders Havuzu'!B30),"")</f>
        <v/>
      </c>
      <c r="F30" s="19" t="str">
        <f aca="false">IF($A30="Seçildi",IF('1-Ders Havuzu'!J30="","",'1-Ders Havuzu'!J30),"")</f>
        <v/>
      </c>
      <c r="G30" s="19" t="str">
        <f aca="false">IF($A30="Seçildi",IF('1-Ders Havuzu'!H30="","",'1-Ders Havuzu'!H30),"")</f>
        <v/>
      </c>
      <c r="H30" s="22"/>
      <c r="I30" s="19" t="str">
        <f aca="false">IFERROR(IF($H30="","",INDEX('Öğretim Elemanları'!$A$4:$A$49,MATCH($H30,'Öğretim Elemanları'!$C$4:$C$49,0))),"")</f>
        <v/>
      </c>
    </row>
    <row r="31" customFormat="false" ht="15.75" hidden="false" customHeight="true" outlineLevel="0" collapsed="false">
      <c r="A31" s="17" t="str">
        <f aca="false">'1-Ders Havuzu'!K31</f>
        <v>Seçilmedi</v>
      </c>
      <c r="B31" s="17" t="str">
        <f aca="false">IF($A31="Seçildi",IF('1-Ders Havuzu'!C31="","",'1-Ders Havuzu'!C31),"")</f>
        <v/>
      </c>
      <c r="C31" s="24" t="str">
        <f aca="false">IF($A31="Seçildi",IF('1-Ders Havuzu'!D31="","",'1-Ders Havuzu'!D31),"")</f>
        <v/>
      </c>
      <c r="D31" s="17" t="str">
        <f aca="false">IF($A31="Seçildi",IF('1-Ders Havuzu'!A31="","",'1-Ders Havuzu'!A31),"")</f>
        <v/>
      </c>
      <c r="E31" s="17" t="str">
        <f aca="false">IF($A31="Seçildi",IF('1-Ders Havuzu'!B31="","",'1-Ders Havuzu'!B31),"")</f>
        <v/>
      </c>
      <c r="F31" s="17" t="str">
        <f aca="false">IF($A31="Seçildi",IF('1-Ders Havuzu'!J31="","",'1-Ders Havuzu'!J31),"")</f>
        <v/>
      </c>
      <c r="G31" s="17" t="str">
        <f aca="false">IF($A31="Seçildi",IF('1-Ders Havuzu'!H31="","",'1-Ders Havuzu'!H31),"")</f>
        <v/>
      </c>
      <c r="H31" s="22"/>
      <c r="I31" s="17" t="str">
        <f aca="false">IFERROR(IF($H31="","",INDEX('Öğretim Elemanları'!$A$4:$A$49,MATCH($H31,'Öğretim Elemanları'!$C$4:$C$49,0))),"")</f>
        <v/>
      </c>
    </row>
    <row r="32" customFormat="false" ht="15.75" hidden="false" customHeight="true" outlineLevel="0" collapsed="false">
      <c r="A32" s="19" t="str">
        <f aca="false">'1-Ders Havuzu'!K32</f>
        <v>Seçilmedi</v>
      </c>
      <c r="B32" s="19" t="str">
        <f aca="false">IF($A32="Seçildi",IF('1-Ders Havuzu'!C32="","",'1-Ders Havuzu'!C32),"")</f>
        <v/>
      </c>
      <c r="C32" s="26" t="str">
        <f aca="false">IF($A32="Seçildi",IF('1-Ders Havuzu'!D32="","",'1-Ders Havuzu'!D32),"")</f>
        <v/>
      </c>
      <c r="D32" s="19" t="str">
        <f aca="false">IF($A32="Seçildi",IF('1-Ders Havuzu'!A32="","",'1-Ders Havuzu'!A32),"")</f>
        <v/>
      </c>
      <c r="E32" s="19" t="str">
        <f aca="false">IF($A32="Seçildi",IF('1-Ders Havuzu'!B32="","",'1-Ders Havuzu'!B32),"")</f>
        <v/>
      </c>
      <c r="F32" s="19" t="str">
        <f aca="false">IF($A32="Seçildi",IF('1-Ders Havuzu'!J32="","",'1-Ders Havuzu'!J32),"")</f>
        <v/>
      </c>
      <c r="G32" s="19" t="str">
        <f aca="false">IF($A32="Seçildi",IF('1-Ders Havuzu'!H32="","",'1-Ders Havuzu'!H32),"")</f>
        <v/>
      </c>
      <c r="H32" s="22"/>
      <c r="I32" s="19" t="str">
        <f aca="false">IFERROR(IF($H32="","",INDEX('Öğretim Elemanları'!$A$4:$A$49,MATCH($H32,'Öğretim Elemanları'!$C$4:$C$49,0))),"")</f>
        <v/>
      </c>
    </row>
    <row r="33" customFormat="false" ht="15.75" hidden="false" customHeight="true" outlineLevel="0" collapsed="false">
      <c r="A33" s="17" t="str">
        <f aca="false">'1-Ders Havuzu'!K33</f>
        <v>Seçilmedi</v>
      </c>
      <c r="B33" s="17" t="str">
        <f aca="false">IF($A33="Seçildi",IF('1-Ders Havuzu'!C33="","",'1-Ders Havuzu'!C33),"")</f>
        <v/>
      </c>
      <c r="C33" s="24" t="str">
        <f aca="false">IF($A33="Seçildi",IF('1-Ders Havuzu'!D33="","",'1-Ders Havuzu'!D33),"")</f>
        <v/>
      </c>
      <c r="D33" s="17" t="str">
        <f aca="false">IF($A33="Seçildi",IF('1-Ders Havuzu'!A33="","",'1-Ders Havuzu'!A33),"")</f>
        <v/>
      </c>
      <c r="E33" s="17" t="str">
        <f aca="false">IF($A33="Seçildi",IF('1-Ders Havuzu'!B33="","",'1-Ders Havuzu'!B33),"")</f>
        <v/>
      </c>
      <c r="F33" s="17" t="str">
        <f aca="false">IF($A33="Seçildi",IF('1-Ders Havuzu'!J33="","",'1-Ders Havuzu'!J33),"")</f>
        <v/>
      </c>
      <c r="G33" s="17" t="str">
        <f aca="false">IF($A33="Seçildi",IF('1-Ders Havuzu'!H33="","",'1-Ders Havuzu'!H33),"")</f>
        <v/>
      </c>
      <c r="H33" s="22"/>
      <c r="I33" s="17" t="str">
        <f aca="false">IFERROR(IF($H33="","",INDEX('Öğretim Elemanları'!$A$4:$A$49,MATCH($H33,'Öğretim Elemanları'!$C$4:$C$49,0))),"")</f>
        <v/>
      </c>
    </row>
    <row r="34" customFormat="false" ht="15.75" hidden="false" customHeight="true" outlineLevel="0" collapsed="false">
      <c r="A34" s="19" t="str">
        <f aca="false">'1-Ders Havuzu'!K34</f>
        <v>Seçilmedi</v>
      </c>
      <c r="B34" s="19" t="str">
        <f aca="false">IF($A34="Seçildi",IF('1-Ders Havuzu'!C34="","",'1-Ders Havuzu'!C34),"")</f>
        <v/>
      </c>
      <c r="C34" s="26" t="str">
        <f aca="false">IF($A34="Seçildi",IF('1-Ders Havuzu'!D34="","",'1-Ders Havuzu'!D34),"")</f>
        <v/>
      </c>
      <c r="D34" s="19" t="str">
        <f aca="false">IF($A34="Seçildi",IF('1-Ders Havuzu'!A34="","",'1-Ders Havuzu'!A34),"")</f>
        <v/>
      </c>
      <c r="E34" s="19" t="str">
        <f aca="false">IF($A34="Seçildi",IF('1-Ders Havuzu'!B34="","",'1-Ders Havuzu'!B34),"")</f>
        <v/>
      </c>
      <c r="F34" s="19" t="str">
        <f aca="false">IF($A34="Seçildi",IF('1-Ders Havuzu'!J34="","",'1-Ders Havuzu'!J34),"")</f>
        <v/>
      </c>
      <c r="G34" s="19" t="str">
        <f aca="false">IF($A34="Seçildi",IF('1-Ders Havuzu'!H34="","",'1-Ders Havuzu'!H34),"")</f>
        <v/>
      </c>
      <c r="H34" s="22"/>
      <c r="I34" s="19" t="str">
        <f aca="false">IFERROR(IF($H34="","",INDEX('Öğretim Elemanları'!$A$4:$A$49,MATCH($H34,'Öğretim Elemanları'!$C$4:$C$49,0))),"")</f>
        <v/>
      </c>
    </row>
    <row r="35" customFormat="false" ht="15.75" hidden="false" customHeight="true" outlineLevel="0" collapsed="false">
      <c r="A35" s="17" t="str">
        <f aca="false">'1-Ders Havuzu'!K35</f>
        <v>Seçilmedi</v>
      </c>
      <c r="B35" s="17" t="str">
        <f aca="false">IF($A35="Seçildi",IF('1-Ders Havuzu'!C35="","",'1-Ders Havuzu'!C35),"")</f>
        <v/>
      </c>
      <c r="C35" s="24" t="str">
        <f aca="false">IF($A35="Seçildi",IF('1-Ders Havuzu'!D35="","",'1-Ders Havuzu'!D35),"")</f>
        <v/>
      </c>
      <c r="D35" s="17" t="str">
        <f aca="false">IF($A35="Seçildi",IF('1-Ders Havuzu'!A35="","",'1-Ders Havuzu'!A35),"")</f>
        <v/>
      </c>
      <c r="E35" s="17" t="str">
        <f aca="false">IF($A35="Seçildi",IF('1-Ders Havuzu'!B35="","",'1-Ders Havuzu'!B35),"")</f>
        <v/>
      </c>
      <c r="F35" s="17" t="str">
        <f aca="false">IF($A35="Seçildi",IF('1-Ders Havuzu'!J35="","",'1-Ders Havuzu'!J35),"")</f>
        <v/>
      </c>
      <c r="G35" s="17" t="str">
        <f aca="false">IF($A35="Seçildi",IF('1-Ders Havuzu'!H35="","",'1-Ders Havuzu'!H35),"")</f>
        <v/>
      </c>
      <c r="H35" s="22"/>
      <c r="I35" s="17" t="str">
        <f aca="false">IFERROR(IF($H35="","",INDEX('Öğretim Elemanları'!$A$4:$A$49,MATCH($H35,'Öğretim Elemanları'!$C$4:$C$49,0))),"")</f>
        <v/>
      </c>
    </row>
    <row r="36" customFormat="false" ht="15.75" hidden="false" customHeight="true" outlineLevel="0" collapsed="false">
      <c r="A36" s="19" t="str">
        <f aca="false">'1-Ders Havuzu'!K36</f>
        <v>Seçilmedi</v>
      </c>
      <c r="B36" s="19" t="str">
        <f aca="false">IF($A36="Seçildi",IF('1-Ders Havuzu'!C36="","",'1-Ders Havuzu'!C36),"")</f>
        <v/>
      </c>
      <c r="C36" s="26" t="str">
        <f aca="false">IF($A36="Seçildi",IF('1-Ders Havuzu'!D36="","",'1-Ders Havuzu'!D36),"")</f>
        <v/>
      </c>
      <c r="D36" s="19" t="str">
        <f aca="false">IF($A36="Seçildi",IF('1-Ders Havuzu'!A36="","",'1-Ders Havuzu'!A36),"")</f>
        <v/>
      </c>
      <c r="E36" s="19" t="str">
        <f aca="false">IF($A36="Seçildi",IF('1-Ders Havuzu'!B36="","",'1-Ders Havuzu'!B36),"")</f>
        <v/>
      </c>
      <c r="F36" s="19" t="str">
        <f aca="false">IF($A36="Seçildi",IF('1-Ders Havuzu'!J36="","",'1-Ders Havuzu'!J36),"")</f>
        <v/>
      </c>
      <c r="G36" s="19" t="str">
        <f aca="false">IF($A36="Seçildi",IF('1-Ders Havuzu'!H36="","",'1-Ders Havuzu'!H36),"")</f>
        <v/>
      </c>
      <c r="H36" s="22"/>
      <c r="I36" s="19" t="str">
        <f aca="false">IFERROR(IF($H36="","",INDEX('Öğretim Elemanları'!$A$4:$A$49,MATCH($H36,'Öğretim Elemanları'!$C$4:$C$49,0))),"")</f>
        <v/>
      </c>
    </row>
    <row r="37" customFormat="false" ht="15.75" hidden="false" customHeight="true" outlineLevel="0" collapsed="false">
      <c r="A37" s="17" t="str">
        <f aca="false">'1-Ders Havuzu'!K37</f>
        <v>Seçilmedi</v>
      </c>
      <c r="B37" s="17" t="str">
        <f aca="false">IF($A37="Seçildi",IF('1-Ders Havuzu'!C37="","",'1-Ders Havuzu'!C37),"")</f>
        <v/>
      </c>
      <c r="C37" s="24" t="str">
        <f aca="false">IF($A37="Seçildi",IF('1-Ders Havuzu'!D37="","",'1-Ders Havuzu'!D37),"")</f>
        <v/>
      </c>
      <c r="D37" s="17" t="str">
        <f aca="false">IF($A37="Seçildi",IF('1-Ders Havuzu'!A37="","",'1-Ders Havuzu'!A37),"")</f>
        <v/>
      </c>
      <c r="E37" s="17" t="str">
        <f aca="false">IF($A37="Seçildi",IF('1-Ders Havuzu'!B37="","",'1-Ders Havuzu'!B37),"")</f>
        <v/>
      </c>
      <c r="F37" s="17" t="str">
        <f aca="false">IF($A37="Seçildi",IF('1-Ders Havuzu'!J37="","",'1-Ders Havuzu'!J37),"")</f>
        <v/>
      </c>
      <c r="G37" s="17" t="str">
        <f aca="false">IF($A37="Seçildi",IF('1-Ders Havuzu'!H37="","",'1-Ders Havuzu'!H37),"")</f>
        <v/>
      </c>
      <c r="H37" s="22"/>
      <c r="I37" s="17" t="str">
        <f aca="false">IFERROR(IF($H37="","",INDEX('Öğretim Elemanları'!$A$4:$A$49,MATCH($H37,'Öğretim Elemanları'!$C$4:$C$49,0))),"")</f>
        <v/>
      </c>
    </row>
    <row r="38" customFormat="false" ht="15.75" hidden="false" customHeight="true" outlineLevel="0" collapsed="false">
      <c r="A38" s="19" t="str">
        <f aca="false">'1-Ders Havuzu'!K38</f>
        <v>Seçilmedi</v>
      </c>
      <c r="B38" s="19" t="str">
        <f aca="false">IF($A38="Seçildi",IF('1-Ders Havuzu'!C38="","",'1-Ders Havuzu'!C38),"")</f>
        <v/>
      </c>
      <c r="C38" s="26" t="str">
        <f aca="false">IF($A38="Seçildi",IF('1-Ders Havuzu'!D38="","",'1-Ders Havuzu'!D38),"")</f>
        <v/>
      </c>
      <c r="D38" s="19" t="str">
        <f aca="false">IF($A38="Seçildi",IF('1-Ders Havuzu'!A38="","",'1-Ders Havuzu'!A38),"")</f>
        <v/>
      </c>
      <c r="E38" s="19" t="str">
        <f aca="false">IF($A38="Seçildi",IF('1-Ders Havuzu'!B38="","",'1-Ders Havuzu'!B38),"")</f>
        <v/>
      </c>
      <c r="F38" s="19" t="str">
        <f aca="false">IF($A38="Seçildi",IF('1-Ders Havuzu'!J38="","",'1-Ders Havuzu'!J38),"")</f>
        <v/>
      </c>
      <c r="G38" s="19" t="str">
        <f aca="false">IF($A38="Seçildi",IF('1-Ders Havuzu'!H38="","",'1-Ders Havuzu'!H38),"")</f>
        <v/>
      </c>
      <c r="H38" s="22"/>
      <c r="I38" s="19" t="str">
        <f aca="false">IFERROR(IF($H38="","",INDEX('Öğretim Elemanları'!$A$4:$A$49,MATCH($H38,'Öğretim Elemanları'!$C$4:$C$49,0))),"")</f>
        <v/>
      </c>
    </row>
    <row r="39" customFormat="false" ht="15.75" hidden="false" customHeight="true" outlineLevel="0" collapsed="false">
      <c r="A39" s="17" t="str">
        <f aca="false">'1-Ders Havuzu'!K39</f>
        <v>Seçilmedi</v>
      </c>
      <c r="B39" s="17" t="str">
        <f aca="false">IF($A39="Seçildi",IF('1-Ders Havuzu'!C39="","",'1-Ders Havuzu'!C39),"")</f>
        <v/>
      </c>
      <c r="C39" s="24" t="str">
        <f aca="false">IF($A39="Seçildi",IF('1-Ders Havuzu'!D39="","",'1-Ders Havuzu'!D39),"")</f>
        <v/>
      </c>
      <c r="D39" s="17" t="str">
        <f aca="false">IF($A39="Seçildi",IF('1-Ders Havuzu'!A39="","",'1-Ders Havuzu'!A39),"")</f>
        <v/>
      </c>
      <c r="E39" s="17" t="str">
        <f aca="false">IF($A39="Seçildi",IF('1-Ders Havuzu'!B39="","",'1-Ders Havuzu'!B39),"")</f>
        <v/>
      </c>
      <c r="F39" s="17" t="str">
        <f aca="false">IF($A39="Seçildi",IF('1-Ders Havuzu'!J39="","",'1-Ders Havuzu'!J39),"")</f>
        <v/>
      </c>
      <c r="G39" s="17" t="str">
        <f aca="false">IF($A39="Seçildi",IF('1-Ders Havuzu'!H39="","",'1-Ders Havuzu'!H39),"")</f>
        <v/>
      </c>
      <c r="H39" s="22"/>
      <c r="I39" s="17" t="str">
        <f aca="false">IFERROR(IF($H39="","",INDEX('Öğretim Elemanları'!$A$4:$A$49,MATCH($H39,'Öğretim Elemanları'!$C$4:$C$49,0))),"")</f>
        <v/>
      </c>
    </row>
    <row r="40" customFormat="false" ht="15.75" hidden="false" customHeight="true" outlineLevel="0" collapsed="false">
      <c r="A40" s="19" t="str">
        <f aca="false">'1-Ders Havuzu'!K40</f>
        <v>Seçilmedi</v>
      </c>
      <c r="B40" s="19" t="str">
        <f aca="false">IF($A40="Seçildi",IF('1-Ders Havuzu'!C40="","",'1-Ders Havuzu'!C40),"")</f>
        <v/>
      </c>
      <c r="C40" s="26" t="str">
        <f aca="false">IF($A40="Seçildi",IF('1-Ders Havuzu'!D40="","",'1-Ders Havuzu'!D40),"")</f>
        <v/>
      </c>
      <c r="D40" s="19" t="str">
        <f aca="false">IF($A40="Seçildi",IF('1-Ders Havuzu'!A40="","",'1-Ders Havuzu'!A40),"")</f>
        <v/>
      </c>
      <c r="E40" s="19" t="str">
        <f aca="false">IF($A40="Seçildi",IF('1-Ders Havuzu'!B40="","",'1-Ders Havuzu'!B40),"")</f>
        <v/>
      </c>
      <c r="F40" s="19" t="str">
        <f aca="false">IF($A40="Seçildi",IF('1-Ders Havuzu'!J40="","",'1-Ders Havuzu'!J40),"")</f>
        <v/>
      </c>
      <c r="G40" s="19" t="str">
        <f aca="false">IF($A40="Seçildi",IF('1-Ders Havuzu'!H40="","",'1-Ders Havuzu'!H40),"")</f>
        <v/>
      </c>
      <c r="H40" s="22"/>
      <c r="I40" s="19" t="str">
        <f aca="false">IFERROR(IF($H40="","",INDEX('Öğretim Elemanları'!$A$4:$A$49,MATCH($H40,'Öğretim Elemanları'!$C$4:$C$49,0))),"")</f>
        <v/>
      </c>
    </row>
    <row r="41" customFormat="false" ht="15.75" hidden="false" customHeight="true" outlineLevel="0" collapsed="false">
      <c r="A41" s="17" t="str">
        <f aca="false">'1-Ders Havuzu'!K41</f>
        <v>Seçilmedi</v>
      </c>
      <c r="B41" s="17" t="str">
        <f aca="false">IF($A41="Seçildi",IF('1-Ders Havuzu'!C41="","",'1-Ders Havuzu'!C41),"")</f>
        <v/>
      </c>
      <c r="C41" s="24" t="str">
        <f aca="false">IF($A41="Seçildi",IF('1-Ders Havuzu'!D41="","",'1-Ders Havuzu'!D41),"")</f>
        <v/>
      </c>
      <c r="D41" s="17" t="str">
        <f aca="false">IF($A41="Seçildi",IF('1-Ders Havuzu'!A41="","",'1-Ders Havuzu'!A41),"")</f>
        <v/>
      </c>
      <c r="E41" s="17" t="str">
        <f aca="false">IF($A41="Seçildi",IF('1-Ders Havuzu'!B41="","",'1-Ders Havuzu'!B41),"")</f>
        <v/>
      </c>
      <c r="F41" s="17" t="str">
        <f aca="false">IF($A41="Seçildi",IF('1-Ders Havuzu'!J41="","",'1-Ders Havuzu'!J41),"")</f>
        <v/>
      </c>
      <c r="G41" s="17" t="str">
        <f aca="false">IF($A41="Seçildi",IF('1-Ders Havuzu'!H41="","",'1-Ders Havuzu'!H41),"")</f>
        <v/>
      </c>
      <c r="H41" s="22"/>
      <c r="I41" s="17" t="str">
        <f aca="false">IFERROR(IF($H41="","",INDEX('Öğretim Elemanları'!$A$4:$A$49,MATCH($H41,'Öğretim Elemanları'!$C$4:$C$49,0))),"")</f>
        <v/>
      </c>
    </row>
    <row r="42" customFormat="false" ht="15.75" hidden="false" customHeight="true" outlineLevel="0" collapsed="false">
      <c r="A42" s="19" t="str">
        <f aca="false">'1-Ders Havuzu'!K42</f>
        <v>Seçilmedi</v>
      </c>
      <c r="B42" s="19" t="str">
        <f aca="false">IF($A42="Seçildi",IF('1-Ders Havuzu'!C42="","",'1-Ders Havuzu'!C42),"")</f>
        <v/>
      </c>
      <c r="C42" s="26" t="str">
        <f aca="false">IF($A42="Seçildi",IF('1-Ders Havuzu'!D42="","",'1-Ders Havuzu'!D42),"")</f>
        <v/>
      </c>
      <c r="D42" s="19" t="str">
        <f aca="false">IF($A42="Seçildi",IF('1-Ders Havuzu'!A42="","",'1-Ders Havuzu'!A42),"")</f>
        <v/>
      </c>
      <c r="E42" s="19" t="str">
        <f aca="false">IF($A42="Seçildi",IF('1-Ders Havuzu'!B42="","",'1-Ders Havuzu'!B42),"")</f>
        <v/>
      </c>
      <c r="F42" s="19" t="str">
        <f aca="false">IF($A42="Seçildi",IF('1-Ders Havuzu'!J42="","",'1-Ders Havuzu'!J42),"")</f>
        <v/>
      </c>
      <c r="G42" s="19" t="str">
        <f aca="false">IF($A42="Seçildi",IF('1-Ders Havuzu'!H42="","",'1-Ders Havuzu'!H42),"")</f>
        <v/>
      </c>
      <c r="H42" s="22"/>
      <c r="I42" s="19" t="str">
        <f aca="false">IFERROR(IF($H42="","",INDEX('Öğretim Elemanları'!$A$4:$A$49,MATCH($H42,'Öğretim Elemanları'!$C$4:$C$49,0))),"")</f>
        <v/>
      </c>
    </row>
    <row r="43" customFormat="false" ht="15.75" hidden="false" customHeight="true" outlineLevel="0" collapsed="false">
      <c r="A43" s="17" t="str">
        <f aca="false">'1-Ders Havuzu'!K43</f>
        <v>Seçilmedi</v>
      </c>
      <c r="B43" s="17" t="str">
        <f aca="false">IF($A43="Seçildi",IF('1-Ders Havuzu'!C43="","",'1-Ders Havuzu'!C43),"")</f>
        <v/>
      </c>
      <c r="C43" s="24" t="str">
        <f aca="false">IF($A43="Seçildi",IF('1-Ders Havuzu'!D43="","",'1-Ders Havuzu'!D43),"")</f>
        <v/>
      </c>
      <c r="D43" s="17" t="str">
        <f aca="false">IF($A43="Seçildi",IF('1-Ders Havuzu'!A43="","",'1-Ders Havuzu'!A43),"")</f>
        <v/>
      </c>
      <c r="E43" s="17" t="str">
        <f aca="false">IF($A43="Seçildi",IF('1-Ders Havuzu'!B43="","",'1-Ders Havuzu'!B43),"")</f>
        <v/>
      </c>
      <c r="F43" s="17" t="str">
        <f aca="false">IF($A43="Seçildi",IF('1-Ders Havuzu'!J43="","",'1-Ders Havuzu'!J43),"")</f>
        <v/>
      </c>
      <c r="G43" s="17" t="str">
        <f aca="false">IF($A43="Seçildi",IF('1-Ders Havuzu'!H43="","",'1-Ders Havuzu'!H43),"")</f>
        <v/>
      </c>
      <c r="H43" s="22"/>
      <c r="I43" s="17" t="str">
        <f aca="false">IFERROR(IF($H43="","",INDEX('Öğretim Elemanları'!$A$4:$A$49,MATCH($H43,'Öğretim Elemanları'!$C$4:$C$49,0))),"")</f>
        <v/>
      </c>
    </row>
    <row r="44" customFormat="false" ht="15.75" hidden="false" customHeight="true" outlineLevel="0" collapsed="false">
      <c r="A44" s="19" t="str">
        <f aca="false">'1-Ders Havuzu'!K44</f>
        <v>Seçilmedi</v>
      </c>
      <c r="B44" s="19" t="str">
        <f aca="false">IF($A44="Seçildi",IF('1-Ders Havuzu'!C44="","",'1-Ders Havuzu'!C44),"")</f>
        <v/>
      </c>
      <c r="C44" s="26" t="str">
        <f aca="false">IF($A44="Seçildi",IF('1-Ders Havuzu'!D44="","",'1-Ders Havuzu'!D44),"")</f>
        <v/>
      </c>
      <c r="D44" s="19" t="str">
        <f aca="false">IF($A44="Seçildi",IF('1-Ders Havuzu'!A44="","",'1-Ders Havuzu'!A44),"")</f>
        <v/>
      </c>
      <c r="E44" s="19" t="str">
        <f aca="false">IF($A44="Seçildi",IF('1-Ders Havuzu'!B44="","",'1-Ders Havuzu'!B44),"")</f>
        <v/>
      </c>
      <c r="F44" s="19" t="str">
        <f aca="false">IF($A44="Seçildi",IF('1-Ders Havuzu'!J44="","",'1-Ders Havuzu'!J44),"")</f>
        <v/>
      </c>
      <c r="G44" s="19" t="str">
        <f aca="false">IF($A44="Seçildi",IF('1-Ders Havuzu'!H44="","",'1-Ders Havuzu'!H44),"")</f>
        <v/>
      </c>
      <c r="H44" s="22"/>
      <c r="I44" s="19" t="str">
        <f aca="false">IFERROR(IF($H44="","",INDEX('Öğretim Elemanları'!$A$4:$A$49,MATCH($H44,'Öğretim Elemanları'!$C$4:$C$49,0))),"")</f>
        <v/>
      </c>
    </row>
    <row r="45" customFormat="false" ht="15.75" hidden="false" customHeight="true" outlineLevel="0" collapsed="false">
      <c r="A45" s="17" t="str">
        <f aca="false">'1-Ders Havuzu'!K45</f>
        <v>Seçilmedi</v>
      </c>
      <c r="B45" s="17" t="str">
        <f aca="false">IF($A45="Seçildi",IF('1-Ders Havuzu'!C45="","",'1-Ders Havuzu'!C45),"")</f>
        <v/>
      </c>
      <c r="C45" s="24" t="str">
        <f aca="false">IF($A45="Seçildi",IF('1-Ders Havuzu'!D45="","",'1-Ders Havuzu'!D45),"")</f>
        <v/>
      </c>
      <c r="D45" s="17" t="str">
        <f aca="false">IF($A45="Seçildi",IF('1-Ders Havuzu'!A45="","",'1-Ders Havuzu'!A45),"")</f>
        <v/>
      </c>
      <c r="E45" s="17" t="str">
        <f aca="false">IF($A45="Seçildi",IF('1-Ders Havuzu'!B45="","",'1-Ders Havuzu'!B45),"")</f>
        <v/>
      </c>
      <c r="F45" s="17" t="str">
        <f aca="false">IF($A45="Seçildi",IF('1-Ders Havuzu'!J45="","",'1-Ders Havuzu'!J45),"")</f>
        <v/>
      </c>
      <c r="G45" s="17" t="str">
        <f aca="false">IF($A45="Seçildi",IF('1-Ders Havuzu'!H45="","",'1-Ders Havuzu'!H45),"")</f>
        <v/>
      </c>
      <c r="H45" s="22"/>
      <c r="I45" s="17" t="str">
        <f aca="false">IFERROR(IF($H45="","",INDEX('Öğretim Elemanları'!$A$4:$A$49,MATCH($H45,'Öğretim Elemanları'!$C$4:$C$49,0))),"")</f>
        <v/>
      </c>
    </row>
    <row r="46" customFormat="false" ht="15.75" hidden="false" customHeight="true" outlineLevel="0" collapsed="false">
      <c r="A46" s="19" t="str">
        <f aca="false">'1-Ders Havuzu'!K46</f>
        <v>Seçilmedi</v>
      </c>
      <c r="B46" s="19" t="str">
        <f aca="false">IF($A46="Seçildi",IF('1-Ders Havuzu'!C46="","",'1-Ders Havuzu'!C46),"")</f>
        <v/>
      </c>
      <c r="C46" s="26" t="str">
        <f aca="false">IF($A46="Seçildi",IF('1-Ders Havuzu'!D46="","",'1-Ders Havuzu'!D46),"")</f>
        <v/>
      </c>
      <c r="D46" s="19" t="str">
        <f aca="false">IF($A46="Seçildi",IF('1-Ders Havuzu'!A46="","",'1-Ders Havuzu'!A46),"")</f>
        <v/>
      </c>
      <c r="E46" s="19" t="str">
        <f aca="false">IF($A46="Seçildi",IF('1-Ders Havuzu'!B46="","",'1-Ders Havuzu'!B46),"")</f>
        <v/>
      </c>
      <c r="F46" s="19" t="str">
        <f aca="false">IF($A46="Seçildi",IF('1-Ders Havuzu'!J46="","",'1-Ders Havuzu'!J46),"")</f>
        <v/>
      </c>
      <c r="G46" s="19" t="str">
        <f aca="false">IF($A46="Seçildi",IF('1-Ders Havuzu'!H46="","",'1-Ders Havuzu'!H46),"")</f>
        <v/>
      </c>
      <c r="H46" s="22"/>
      <c r="I46" s="19" t="str">
        <f aca="false">IFERROR(IF($H46="","",INDEX('Öğretim Elemanları'!$A$4:$A$49,MATCH($H46,'Öğretim Elemanları'!$C$4:$C$49,0))),"")</f>
        <v/>
      </c>
    </row>
    <row r="47" customFormat="false" ht="15.75" hidden="false" customHeight="true" outlineLevel="0" collapsed="false">
      <c r="A47" s="17" t="str">
        <f aca="false">'1-Ders Havuzu'!K47</f>
        <v>Seçilmedi</v>
      </c>
      <c r="B47" s="17" t="str">
        <f aca="false">IF($A47="Seçildi",IF('1-Ders Havuzu'!C47="","",'1-Ders Havuzu'!C47),"")</f>
        <v/>
      </c>
      <c r="C47" s="24" t="str">
        <f aca="false">IF($A47="Seçildi",IF('1-Ders Havuzu'!D47="","",'1-Ders Havuzu'!D47),"")</f>
        <v/>
      </c>
      <c r="D47" s="17" t="str">
        <f aca="false">IF($A47="Seçildi",IF('1-Ders Havuzu'!A47="","",'1-Ders Havuzu'!A47),"")</f>
        <v/>
      </c>
      <c r="E47" s="17" t="str">
        <f aca="false">IF($A47="Seçildi",IF('1-Ders Havuzu'!B47="","",'1-Ders Havuzu'!B47),"")</f>
        <v/>
      </c>
      <c r="F47" s="17" t="str">
        <f aca="false">IF($A47="Seçildi",IF('1-Ders Havuzu'!J47="","",'1-Ders Havuzu'!J47),"")</f>
        <v/>
      </c>
      <c r="G47" s="17" t="str">
        <f aca="false">IF($A47="Seçildi",IF('1-Ders Havuzu'!H47="","",'1-Ders Havuzu'!H47),"")</f>
        <v/>
      </c>
      <c r="H47" s="22"/>
      <c r="I47" s="17" t="str">
        <f aca="false">IFERROR(IF($H47="","",INDEX('Öğretim Elemanları'!$A$4:$A$49,MATCH($H47,'Öğretim Elemanları'!$C$4:$C$49,0))),"")</f>
        <v/>
      </c>
    </row>
    <row r="48" customFormat="false" ht="15.75" hidden="false" customHeight="true" outlineLevel="0" collapsed="false">
      <c r="A48" s="19" t="str">
        <f aca="false">'1-Ders Havuzu'!K48</f>
        <v>Seçilmedi</v>
      </c>
      <c r="B48" s="19" t="str">
        <f aca="false">IF($A48="Seçildi",IF('1-Ders Havuzu'!C48="","",'1-Ders Havuzu'!C48),"")</f>
        <v/>
      </c>
      <c r="C48" s="26" t="str">
        <f aca="false">IF($A48="Seçildi",IF('1-Ders Havuzu'!D48="","",'1-Ders Havuzu'!D48),"")</f>
        <v/>
      </c>
      <c r="D48" s="19" t="str">
        <f aca="false">IF($A48="Seçildi",IF('1-Ders Havuzu'!A48="","",'1-Ders Havuzu'!A48),"")</f>
        <v/>
      </c>
      <c r="E48" s="19" t="str">
        <f aca="false">IF($A48="Seçildi",IF('1-Ders Havuzu'!B48="","",'1-Ders Havuzu'!B48),"")</f>
        <v/>
      </c>
      <c r="F48" s="19" t="str">
        <f aca="false">IF($A48="Seçildi",IF('1-Ders Havuzu'!J48="","",'1-Ders Havuzu'!J48),"")</f>
        <v/>
      </c>
      <c r="G48" s="19" t="str">
        <f aca="false">IF($A48="Seçildi",IF('1-Ders Havuzu'!H48="","",'1-Ders Havuzu'!H48),"")</f>
        <v/>
      </c>
      <c r="H48" s="22"/>
      <c r="I48" s="19" t="str">
        <f aca="false">IFERROR(IF($H48="","",INDEX('Öğretim Elemanları'!$A$4:$A$49,MATCH($H48,'Öğretim Elemanları'!$C$4:$C$49,0))),"")</f>
        <v/>
      </c>
    </row>
    <row r="49" customFormat="false" ht="15.75" hidden="false" customHeight="true" outlineLevel="0" collapsed="false">
      <c r="A49" s="17" t="str">
        <f aca="false">'1-Ders Havuzu'!K49</f>
        <v>Seçilmedi</v>
      </c>
      <c r="B49" s="17" t="str">
        <f aca="false">IF($A49="Seçildi",IF('1-Ders Havuzu'!C49="","",'1-Ders Havuzu'!C49),"")</f>
        <v/>
      </c>
      <c r="C49" s="24" t="str">
        <f aca="false">IF($A49="Seçildi",IF('1-Ders Havuzu'!D49="","",'1-Ders Havuzu'!D49),"")</f>
        <v/>
      </c>
      <c r="D49" s="17" t="str">
        <f aca="false">IF($A49="Seçildi",IF('1-Ders Havuzu'!A49="","",'1-Ders Havuzu'!A49),"")</f>
        <v/>
      </c>
      <c r="E49" s="17" t="str">
        <f aca="false">IF($A49="Seçildi",IF('1-Ders Havuzu'!B49="","",'1-Ders Havuzu'!B49),"")</f>
        <v/>
      </c>
      <c r="F49" s="17" t="str">
        <f aca="false">IF($A49="Seçildi",IF('1-Ders Havuzu'!J49="","",'1-Ders Havuzu'!J49),"")</f>
        <v/>
      </c>
      <c r="G49" s="17" t="str">
        <f aca="false">IF($A49="Seçildi",IF('1-Ders Havuzu'!H49="","",'1-Ders Havuzu'!H49),"")</f>
        <v/>
      </c>
      <c r="H49" s="22"/>
      <c r="I49" s="17" t="str">
        <f aca="false">IFERROR(IF($H49="","",INDEX('Öğretim Elemanları'!$A$4:$A$49,MATCH($H49,'Öğretim Elemanları'!$C$4:$C$49,0))),"")</f>
        <v/>
      </c>
    </row>
    <row r="50" customFormat="false" ht="15.75" hidden="false" customHeight="true" outlineLevel="0" collapsed="false">
      <c r="A50" s="19" t="str">
        <f aca="false">'1-Ders Havuzu'!K50</f>
        <v>Seçilmedi</v>
      </c>
      <c r="B50" s="19" t="str">
        <f aca="false">IF($A50="Seçildi",IF('1-Ders Havuzu'!C50="","",'1-Ders Havuzu'!C50),"")</f>
        <v/>
      </c>
      <c r="C50" s="26" t="str">
        <f aca="false">IF($A50="Seçildi",IF('1-Ders Havuzu'!D50="","",'1-Ders Havuzu'!D50),"")</f>
        <v/>
      </c>
      <c r="D50" s="19" t="str">
        <f aca="false">IF($A50="Seçildi",IF('1-Ders Havuzu'!A50="","",'1-Ders Havuzu'!A50),"")</f>
        <v/>
      </c>
      <c r="E50" s="19" t="str">
        <f aca="false">IF($A50="Seçildi",IF('1-Ders Havuzu'!B50="","",'1-Ders Havuzu'!B50),"")</f>
        <v/>
      </c>
      <c r="F50" s="19" t="str">
        <f aca="false">IF($A50="Seçildi",IF('1-Ders Havuzu'!J50="","",'1-Ders Havuzu'!J50),"")</f>
        <v/>
      </c>
      <c r="G50" s="19" t="str">
        <f aca="false">IF($A50="Seçildi",IF('1-Ders Havuzu'!H50="","",'1-Ders Havuzu'!H50),"")</f>
        <v/>
      </c>
      <c r="H50" s="22"/>
      <c r="I50" s="19" t="str">
        <f aca="false">IFERROR(IF($H50="","",INDEX('Öğretim Elemanları'!$A$4:$A$49,MATCH($H50,'Öğretim Elemanları'!$C$4:$C$49,0))),"")</f>
        <v/>
      </c>
    </row>
    <row r="51" customFormat="false" ht="15.75" hidden="false" customHeight="true" outlineLevel="0" collapsed="false">
      <c r="A51" s="17" t="str">
        <f aca="false">'1-Ders Havuzu'!K51</f>
        <v>Seçilmedi</v>
      </c>
      <c r="B51" s="17" t="str">
        <f aca="false">IF($A51="Seçildi",IF('1-Ders Havuzu'!C51="","",'1-Ders Havuzu'!C51),"")</f>
        <v/>
      </c>
      <c r="C51" s="24" t="str">
        <f aca="false">IF($A51="Seçildi",IF('1-Ders Havuzu'!D51="","",'1-Ders Havuzu'!D51),"")</f>
        <v/>
      </c>
      <c r="D51" s="17" t="str">
        <f aca="false">IF($A51="Seçildi",IF('1-Ders Havuzu'!A51="","",'1-Ders Havuzu'!A51),"")</f>
        <v/>
      </c>
      <c r="E51" s="17" t="str">
        <f aca="false">IF($A51="Seçildi",IF('1-Ders Havuzu'!B51="","",'1-Ders Havuzu'!B51),"")</f>
        <v/>
      </c>
      <c r="F51" s="17" t="str">
        <f aca="false">IF($A51="Seçildi",IF('1-Ders Havuzu'!J51="","",'1-Ders Havuzu'!J51),"")</f>
        <v/>
      </c>
      <c r="G51" s="17" t="str">
        <f aca="false">IF($A51="Seçildi",IF('1-Ders Havuzu'!H51="","",'1-Ders Havuzu'!H51),"")</f>
        <v/>
      </c>
      <c r="H51" s="22"/>
      <c r="I51" s="17" t="str">
        <f aca="false">IFERROR(IF($H51="","",INDEX('Öğretim Elemanları'!$A$4:$A$49,MATCH($H51,'Öğretim Elemanları'!$C$4:$C$49,0))),"")</f>
        <v/>
      </c>
    </row>
    <row r="52" customFormat="false" ht="15.75" hidden="false" customHeight="true" outlineLevel="0" collapsed="false">
      <c r="A52" s="19" t="str">
        <f aca="false">'1-Ders Havuzu'!K52</f>
        <v>Seçilmedi</v>
      </c>
      <c r="B52" s="19" t="str">
        <f aca="false">IF($A52="Seçildi",IF('1-Ders Havuzu'!C52="","",'1-Ders Havuzu'!C52),"")</f>
        <v/>
      </c>
      <c r="C52" s="26" t="str">
        <f aca="false">IF($A52="Seçildi",IF('1-Ders Havuzu'!D52="","",'1-Ders Havuzu'!D52),"")</f>
        <v/>
      </c>
      <c r="D52" s="19" t="str">
        <f aca="false">IF($A52="Seçildi",IF('1-Ders Havuzu'!A52="","",'1-Ders Havuzu'!A52),"")</f>
        <v/>
      </c>
      <c r="E52" s="19" t="str">
        <f aca="false">IF($A52="Seçildi",IF('1-Ders Havuzu'!B52="","",'1-Ders Havuzu'!B52),"")</f>
        <v/>
      </c>
      <c r="F52" s="19" t="str">
        <f aca="false">IF($A52="Seçildi",IF('1-Ders Havuzu'!J52="","",'1-Ders Havuzu'!J52),"")</f>
        <v/>
      </c>
      <c r="G52" s="19" t="str">
        <f aca="false">IF($A52="Seçildi",IF('1-Ders Havuzu'!H52="","",'1-Ders Havuzu'!H52),"")</f>
        <v/>
      </c>
      <c r="H52" s="22"/>
      <c r="I52" s="19" t="str">
        <f aca="false">IFERROR(IF($H52="","",INDEX('Öğretim Elemanları'!$A$4:$A$49,MATCH($H52,'Öğretim Elemanları'!$C$4:$C$49,0))),"")</f>
        <v/>
      </c>
    </row>
    <row r="53" customFormat="false" ht="15.75" hidden="false" customHeight="true" outlineLevel="0" collapsed="false">
      <c r="A53" s="17" t="str">
        <f aca="false">'1-Ders Havuzu'!K53</f>
        <v>Seçilmedi</v>
      </c>
      <c r="B53" s="17" t="str">
        <f aca="false">IF($A53="Seçildi",IF('1-Ders Havuzu'!C53="","",'1-Ders Havuzu'!C53),"")</f>
        <v/>
      </c>
      <c r="C53" s="24" t="str">
        <f aca="false">IF($A53="Seçildi",IF('1-Ders Havuzu'!D53="","",'1-Ders Havuzu'!D53),"")</f>
        <v/>
      </c>
      <c r="D53" s="17" t="str">
        <f aca="false">IF($A53="Seçildi",IF('1-Ders Havuzu'!A53="","",'1-Ders Havuzu'!A53),"")</f>
        <v/>
      </c>
      <c r="E53" s="17" t="str">
        <f aca="false">IF($A53="Seçildi",IF('1-Ders Havuzu'!B53="","",'1-Ders Havuzu'!B53),"")</f>
        <v/>
      </c>
      <c r="F53" s="17" t="str">
        <f aca="false">IF($A53="Seçildi",IF('1-Ders Havuzu'!J53="","",'1-Ders Havuzu'!J53),"")</f>
        <v/>
      </c>
      <c r="G53" s="17" t="str">
        <f aca="false">IF($A53="Seçildi",IF('1-Ders Havuzu'!H53="","",'1-Ders Havuzu'!H53),"")</f>
        <v/>
      </c>
      <c r="H53" s="22"/>
      <c r="I53" s="17" t="str">
        <f aca="false">IFERROR(IF($H53="","",INDEX('Öğretim Elemanları'!$A$4:$A$49,MATCH($H53,'Öğretim Elemanları'!$C$4:$C$49,0))),"")</f>
        <v/>
      </c>
    </row>
    <row r="54" customFormat="false" ht="15.75" hidden="false" customHeight="true" outlineLevel="0" collapsed="false">
      <c r="A54" s="19" t="str">
        <f aca="false">'1-Ders Havuzu'!K54</f>
        <v>Seçilmedi</v>
      </c>
      <c r="B54" s="19" t="str">
        <f aca="false">IF($A54="Seçildi",IF('1-Ders Havuzu'!C54="","",'1-Ders Havuzu'!C54),"")</f>
        <v/>
      </c>
      <c r="C54" s="26" t="str">
        <f aca="false">IF($A54="Seçildi",IF('1-Ders Havuzu'!D54="","",'1-Ders Havuzu'!D54),"")</f>
        <v/>
      </c>
      <c r="D54" s="19" t="str">
        <f aca="false">IF($A54="Seçildi",IF('1-Ders Havuzu'!A54="","",'1-Ders Havuzu'!A54),"")</f>
        <v/>
      </c>
      <c r="E54" s="19" t="str">
        <f aca="false">IF($A54="Seçildi",IF('1-Ders Havuzu'!B54="","",'1-Ders Havuzu'!B54),"")</f>
        <v/>
      </c>
      <c r="F54" s="19" t="str">
        <f aca="false">IF($A54="Seçildi",IF('1-Ders Havuzu'!J54="","",'1-Ders Havuzu'!J54),"")</f>
        <v/>
      </c>
      <c r="G54" s="19" t="str">
        <f aca="false">IF($A54="Seçildi",IF('1-Ders Havuzu'!H54="","",'1-Ders Havuzu'!H54),"")</f>
        <v/>
      </c>
      <c r="H54" s="22"/>
      <c r="I54" s="19" t="str">
        <f aca="false">IFERROR(IF($H54="","",INDEX('Öğretim Elemanları'!$A$4:$A$49,MATCH($H54,'Öğretim Elemanları'!$C$4:$C$49,0))),"")</f>
        <v/>
      </c>
    </row>
    <row r="55" customFormat="false" ht="15.75" hidden="false" customHeight="true" outlineLevel="0" collapsed="false">
      <c r="A55" s="17" t="str">
        <f aca="false">'1-Ders Havuzu'!K55</f>
        <v>Seçilmedi</v>
      </c>
      <c r="B55" s="17" t="str">
        <f aca="false">IF($A55="Seçildi",IF('1-Ders Havuzu'!C55="","",'1-Ders Havuzu'!C55),"")</f>
        <v/>
      </c>
      <c r="C55" s="24" t="str">
        <f aca="false">IF($A55="Seçildi",IF('1-Ders Havuzu'!D55="","",'1-Ders Havuzu'!D55),"")</f>
        <v/>
      </c>
      <c r="D55" s="17" t="str">
        <f aca="false">IF($A55="Seçildi",IF('1-Ders Havuzu'!A55="","",'1-Ders Havuzu'!A55),"")</f>
        <v/>
      </c>
      <c r="E55" s="17" t="str">
        <f aca="false">IF($A55="Seçildi",IF('1-Ders Havuzu'!B55="","",'1-Ders Havuzu'!B55),"")</f>
        <v/>
      </c>
      <c r="F55" s="17" t="str">
        <f aca="false">IF($A55="Seçildi",IF('1-Ders Havuzu'!J55="","",'1-Ders Havuzu'!J55),"")</f>
        <v/>
      </c>
      <c r="G55" s="17" t="str">
        <f aca="false">IF($A55="Seçildi",IF('1-Ders Havuzu'!H55="","",'1-Ders Havuzu'!H55),"")</f>
        <v/>
      </c>
      <c r="H55" s="22"/>
      <c r="I55" s="17" t="str">
        <f aca="false">IFERROR(IF($H55="","",INDEX('Öğretim Elemanları'!$A$4:$A$49,MATCH($H55,'Öğretim Elemanları'!$C$4:$C$49,0))),"")</f>
        <v/>
      </c>
    </row>
    <row r="56" customFormat="false" ht="15.75" hidden="false" customHeight="true" outlineLevel="0" collapsed="false">
      <c r="A56" s="19" t="str">
        <f aca="false">'1-Ders Havuzu'!K56</f>
        <v>Seçilmedi</v>
      </c>
      <c r="B56" s="19" t="str">
        <f aca="false">IF($A56="Seçildi",IF('1-Ders Havuzu'!C56="","",'1-Ders Havuzu'!C56),"")</f>
        <v/>
      </c>
      <c r="C56" s="26" t="str">
        <f aca="false">IF($A56="Seçildi",IF('1-Ders Havuzu'!D56="","",'1-Ders Havuzu'!D56),"")</f>
        <v/>
      </c>
      <c r="D56" s="19" t="str">
        <f aca="false">IF($A56="Seçildi",IF('1-Ders Havuzu'!A56="","",'1-Ders Havuzu'!A56),"")</f>
        <v/>
      </c>
      <c r="E56" s="19" t="str">
        <f aca="false">IF($A56="Seçildi",IF('1-Ders Havuzu'!B56="","",'1-Ders Havuzu'!B56),"")</f>
        <v/>
      </c>
      <c r="F56" s="19" t="str">
        <f aca="false">IF($A56="Seçildi",IF('1-Ders Havuzu'!J56="","",'1-Ders Havuzu'!J56),"")</f>
        <v/>
      </c>
      <c r="G56" s="19" t="str">
        <f aca="false">IF($A56="Seçildi",IF('1-Ders Havuzu'!H56="","",'1-Ders Havuzu'!H56),"")</f>
        <v/>
      </c>
      <c r="H56" s="22"/>
      <c r="I56" s="19" t="str">
        <f aca="false">IFERROR(IF($H56="","",INDEX('Öğretim Elemanları'!$A$4:$A$49,MATCH($H56,'Öğretim Elemanları'!$C$4:$C$49,0))),"")</f>
        <v/>
      </c>
    </row>
    <row r="57" customFormat="false" ht="15.75" hidden="false" customHeight="true" outlineLevel="0" collapsed="false">
      <c r="A57" s="17" t="str">
        <f aca="false">'1-Ders Havuzu'!K57</f>
        <v>Seçilmedi</v>
      </c>
      <c r="B57" s="17" t="str">
        <f aca="false">IF($A57="Seçildi",IF('1-Ders Havuzu'!C57="","",'1-Ders Havuzu'!C57),"")</f>
        <v/>
      </c>
      <c r="C57" s="24" t="str">
        <f aca="false">IF($A57="Seçildi",IF('1-Ders Havuzu'!D57="","",'1-Ders Havuzu'!D57),"")</f>
        <v/>
      </c>
      <c r="D57" s="17" t="str">
        <f aca="false">IF($A57="Seçildi",IF('1-Ders Havuzu'!A57="","",'1-Ders Havuzu'!A57),"")</f>
        <v/>
      </c>
      <c r="E57" s="17" t="str">
        <f aca="false">IF($A57="Seçildi",IF('1-Ders Havuzu'!B57="","",'1-Ders Havuzu'!B57),"")</f>
        <v/>
      </c>
      <c r="F57" s="17" t="str">
        <f aca="false">IF($A57="Seçildi",IF('1-Ders Havuzu'!J57="","",'1-Ders Havuzu'!J57),"")</f>
        <v/>
      </c>
      <c r="G57" s="17" t="str">
        <f aca="false">IF($A57="Seçildi",IF('1-Ders Havuzu'!H57="","",'1-Ders Havuzu'!H57),"")</f>
        <v/>
      </c>
      <c r="H57" s="22"/>
      <c r="I57" s="17" t="str">
        <f aca="false">IFERROR(IF($H57="","",INDEX('Öğretim Elemanları'!$A$4:$A$49,MATCH($H57,'Öğretim Elemanları'!$C$4:$C$49,0))),"")</f>
        <v/>
      </c>
    </row>
    <row r="58" customFormat="false" ht="15.75" hidden="false" customHeight="true" outlineLevel="0" collapsed="false">
      <c r="A58" s="19" t="str">
        <f aca="false">'1-Ders Havuzu'!K58</f>
        <v>Seçilmedi</v>
      </c>
      <c r="B58" s="19" t="str">
        <f aca="false">IF($A58="Seçildi",IF('1-Ders Havuzu'!C58="","",'1-Ders Havuzu'!C58),"")</f>
        <v/>
      </c>
      <c r="C58" s="26" t="str">
        <f aca="false">IF($A58="Seçildi",IF('1-Ders Havuzu'!D58="","",'1-Ders Havuzu'!D58),"")</f>
        <v/>
      </c>
      <c r="D58" s="19" t="str">
        <f aca="false">IF($A58="Seçildi",IF('1-Ders Havuzu'!A58="","",'1-Ders Havuzu'!A58),"")</f>
        <v/>
      </c>
      <c r="E58" s="19" t="str">
        <f aca="false">IF($A58="Seçildi",IF('1-Ders Havuzu'!B58="","",'1-Ders Havuzu'!B58),"")</f>
        <v/>
      </c>
      <c r="F58" s="19" t="str">
        <f aca="false">IF($A58="Seçildi",IF('1-Ders Havuzu'!J58="","",'1-Ders Havuzu'!J58),"")</f>
        <v/>
      </c>
      <c r="G58" s="19" t="str">
        <f aca="false">IF($A58="Seçildi",IF('1-Ders Havuzu'!H58="","",'1-Ders Havuzu'!H58),"")</f>
        <v/>
      </c>
      <c r="H58" s="22"/>
      <c r="I58" s="19" t="str">
        <f aca="false">IFERROR(IF($H58="","",INDEX('Öğretim Elemanları'!$A$4:$A$49,MATCH($H58,'Öğretim Elemanları'!$C$4:$C$49,0))),"")</f>
        <v/>
      </c>
    </row>
    <row r="59" customFormat="false" ht="15.75" hidden="false" customHeight="true" outlineLevel="0" collapsed="false">
      <c r="A59" s="17" t="str">
        <f aca="false">'1-Ders Havuzu'!K59</f>
        <v>Seçilmedi</v>
      </c>
      <c r="B59" s="17" t="str">
        <f aca="false">IF($A59="Seçildi",IF('1-Ders Havuzu'!C59="","",'1-Ders Havuzu'!C59),"")</f>
        <v/>
      </c>
      <c r="C59" s="24" t="str">
        <f aca="false">IF($A59="Seçildi",IF('1-Ders Havuzu'!D59="","",'1-Ders Havuzu'!D59),"")</f>
        <v/>
      </c>
      <c r="D59" s="17" t="str">
        <f aca="false">IF($A59="Seçildi",IF('1-Ders Havuzu'!A59="","",'1-Ders Havuzu'!A59),"")</f>
        <v/>
      </c>
      <c r="E59" s="17" t="str">
        <f aca="false">IF($A59="Seçildi",IF('1-Ders Havuzu'!B59="","",'1-Ders Havuzu'!B59),"")</f>
        <v/>
      </c>
      <c r="F59" s="17" t="str">
        <f aca="false">IF($A59="Seçildi",IF('1-Ders Havuzu'!J59="","",'1-Ders Havuzu'!J59),"")</f>
        <v/>
      </c>
      <c r="G59" s="17" t="str">
        <f aca="false">IF($A59="Seçildi",IF('1-Ders Havuzu'!H59="","",'1-Ders Havuzu'!H59),"")</f>
        <v/>
      </c>
      <c r="H59" s="22"/>
      <c r="I59" s="17" t="str">
        <f aca="false">IFERROR(IF($H59="","",INDEX('Öğretim Elemanları'!$A$4:$A$49,MATCH($H59,'Öğretim Elemanları'!$C$4:$C$49,0))),"")</f>
        <v/>
      </c>
    </row>
    <row r="60" customFormat="false" ht="15.75" hidden="false" customHeight="true" outlineLevel="0" collapsed="false">
      <c r="A60" s="19" t="str">
        <f aca="false">'1-Ders Havuzu'!K60</f>
        <v>Seçilmedi</v>
      </c>
      <c r="B60" s="19" t="str">
        <f aca="false">IF($A60="Seçildi",IF('1-Ders Havuzu'!C60="","",'1-Ders Havuzu'!C60),"")</f>
        <v/>
      </c>
      <c r="C60" s="26" t="str">
        <f aca="false">IF($A60="Seçildi",IF('1-Ders Havuzu'!D60="","",'1-Ders Havuzu'!D60),"")</f>
        <v/>
      </c>
      <c r="D60" s="19" t="str">
        <f aca="false">IF($A60="Seçildi",IF('1-Ders Havuzu'!A60="","",'1-Ders Havuzu'!A60),"")</f>
        <v/>
      </c>
      <c r="E60" s="19" t="str">
        <f aca="false">IF($A60="Seçildi",IF('1-Ders Havuzu'!B60="","",'1-Ders Havuzu'!B60),"")</f>
        <v/>
      </c>
      <c r="F60" s="19" t="str">
        <f aca="false">IF($A60="Seçildi",IF('1-Ders Havuzu'!J60="","",'1-Ders Havuzu'!J60),"")</f>
        <v/>
      </c>
      <c r="G60" s="19" t="str">
        <f aca="false">IF($A60="Seçildi",IF('1-Ders Havuzu'!H60="","",'1-Ders Havuzu'!H60),"")</f>
        <v/>
      </c>
      <c r="H60" s="22"/>
      <c r="I60" s="19" t="str">
        <f aca="false">IFERROR(IF($H60="","",INDEX('Öğretim Elemanları'!$A$4:$A$49,MATCH($H60,'Öğretim Elemanları'!$C$4:$C$49,0))),"")</f>
        <v/>
      </c>
    </row>
    <row r="61" customFormat="false" ht="15.75" hidden="false" customHeight="true" outlineLevel="0" collapsed="false">
      <c r="A61" s="17" t="str">
        <f aca="false">'1-Ders Havuzu'!K61</f>
        <v>Seçilmedi</v>
      </c>
      <c r="B61" s="17" t="str">
        <f aca="false">IF($A61="Seçildi",IF('1-Ders Havuzu'!C61="","",'1-Ders Havuzu'!C61),"")</f>
        <v/>
      </c>
      <c r="C61" s="24" t="str">
        <f aca="false">IF($A61="Seçildi",IF('1-Ders Havuzu'!D61="","",'1-Ders Havuzu'!D61),"")</f>
        <v/>
      </c>
      <c r="D61" s="17" t="str">
        <f aca="false">IF($A61="Seçildi",IF('1-Ders Havuzu'!A61="","",'1-Ders Havuzu'!A61),"")</f>
        <v/>
      </c>
      <c r="E61" s="17" t="str">
        <f aca="false">IF($A61="Seçildi",IF('1-Ders Havuzu'!B61="","",'1-Ders Havuzu'!B61),"")</f>
        <v/>
      </c>
      <c r="F61" s="17" t="str">
        <f aca="false">IF($A61="Seçildi",IF('1-Ders Havuzu'!J61="","",'1-Ders Havuzu'!J61),"")</f>
        <v/>
      </c>
      <c r="G61" s="17" t="str">
        <f aca="false">IF($A61="Seçildi",IF('1-Ders Havuzu'!H61="","",'1-Ders Havuzu'!H61),"")</f>
        <v/>
      </c>
      <c r="H61" s="22"/>
      <c r="I61" s="17" t="str">
        <f aca="false">IFERROR(IF($H61="","",INDEX('Öğretim Elemanları'!$A$4:$A$49,MATCH($H61,'Öğretim Elemanları'!$C$4:$C$49,0))),"")</f>
        <v/>
      </c>
    </row>
    <row r="62" customFormat="false" ht="15.75" hidden="false" customHeight="true" outlineLevel="0" collapsed="false">
      <c r="A62" s="19" t="str">
        <f aca="false">'1-Ders Havuzu'!K62</f>
        <v>Seçilmedi</v>
      </c>
      <c r="B62" s="19" t="str">
        <f aca="false">IF($A62="Seçildi",IF('1-Ders Havuzu'!C62="","",'1-Ders Havuzu'!C62),"")</f>
        <v/>
      </c>
      <c r="C62" s="26" t="str">
        <f aca="false">IF($A62="Seçildi",IF('1-Ders Havuzu'!D62="","",'1-Ders Havuzu'!D62),"")</f>
        <v/>
      </c>
      <c r="D62" s="19" t="str">
        <f aca="false">IF($A62="Seçildi",IF('1-Ders Havuzu'!A62="","",'1-Ders Havuzu'!A62),"")</f>
        <v/>
      </c>
      <c r="E62" s="19" t="str">
        <f aca="false">IF($A62="Seçildi",IF('1-Ders Havuzu'!B62="","",'1-Ders Havuzu'!B62),"")</f>
        <v/>
      </c>
      <c r="F62" s="19" t="str">
        <f aca="false">IF($A62="Seçildi",IF('1-Ders Havuzu'!J62="","",'1-Ders Havuzu'!J62),"")</f>
        <v/>
      </c>
      <c r="G62" s="19" t="str">
        <f aca="false">IF($A62="Seçildi",IF('1-Ders Havuzu'!H62="","",'1-Ders Havuzu'!H62),"")</f>
        <v/>
      </c>
      <c r="H62" s="22"/>
      <c r="I62" s="19" t="str">
        <f aca="false">IFERROR(IF($H62="","",INDEX('Öğretim Elemanları'!$A$4:$A$49,MATCH($H62,'Öğretim Elemanları'!$C$4:$C$49,0))),"")</f>
        <v/>
      </c>
    </row>
    <row r="63" customFormat="false" ht="15.75" hidden="false" customHeight="true" outlineLevel="0" collapsed="false">
      <c r="A63" s="17" t="str">
        <f aca="false">'1-Ders Havuzu'!K63</f>
        <v>Seçilmedi</v>
      </c>
      <c r="B63" s="17" t="str">
        <f aca="false">IF($A63="Seçildi",IF('1-Ders Havuzu'!C63="","",'1-Ders Havuzu'!C63),"")</f>
        <v/>
      </c>
      <c r="C63" s="24" t="str">
        <f aca="false">IF($A63="Seçildi",IF('1-Ders Havuzu'!D63="","",'1-Ders Havuzu'!D63),"")</f>
        <v/>
      </c>
      <c r="D63" s="17" t="str">
        <f aca="false">IF($A63="Seçildi",IF('1-Ders Havuzu'!A63="","",'1-Ders Havuzu'!A63),"")</f>
        <v/>
      </c>
      <c r="E63" s="17" t="str">
        <f aca="false">IF($A63="Seçildi",IF('1-Ders Havuzu'!B63="","",'1-Ders Havuzu'!B63),"")</f>
        <v/>
      </c>
      <c r="F63" s="17" t="str">
        <f aca="false">IF($A63="Seçildi",IF('1-Ders Havuzu'!J63="","",'1-Ders Havuzu'!J63),"")</f>
        <v/>
      </c>
      <c r="G63" s="17" t="str">
        <f aca="false">IF($A63="Seçildi",IF('1-Ders Havuzu'!H63="","",'1-Ders Havuzu'!H63),"")</f>
        <v/>
      </c>
      <c r="H63" s="22"/>
      <c r="I63" s="17" t="str">
        <f aca="false">IFERROR(IF($H63="","",INDEX('Öğretim Elemanları'!$A$4:$A$49,MATCH($H63,'Öğretim Elemanları'!$C$4:$C$49,0))),"")</f>
        <v/>
      </c>
    </row>
    <row r="64" customFormat="false" ht="15.75" hidden="false" customHeight="true" outlineLevel="0" collapsed="false">
      <c r="A64" s="19" t="str">
        <f aca="false">'1-Ders Havuzu'!K64</f>
        <v>Seçilmedi</v>
      </c>
      <c r="B64" s="19" t="str">
        <f aca="false">IF($A64="Seçildi",IF('1-Ders Havuzu'!C64="","",'1-Ders Havuzu'!C64),"")</f>
        <v/>
      </c>
      <c r="C64" s="26" t="str">
        <f aca="false">IF($A64="Seçildi",IF('1-Ders Havuzu'!D64="","",'1-Ders Havuzu'!D64),"")</f>
        <v/>
      </c>
      <c r="D64" s="19" t="str">
        <f aca="false">IF($A64="Seçildi",IF('1-Ders Havuzu'!A64="","",'1-Ders Havuzu'!A64),"")</f>
        <v/>
      </c>
      <c r="E64" s="19" t="str">
        <f aca="false">IF($A64="Seçildi",IF('1-Ders Havuzu'!B64="","",'1-Ders Havuzu'!B64),"")</f>
        <v/>
      </c>
      <c r="F64" s="19" t="str">
        <f aca="false">IF($A64="Seçildi",IF('1-Ders Havuzu'!J64="","",'1-Ders Havuzu'!J64),"")</f>
        <v/>
      </c>
      <c r="G64" s="19" t="str">
        <f aca="false">IF($A64="Seçildi",IF('1-Ders Havuzu'!H64="","",'1-Ders Havuzu'!H64),"")</f>
        <v/>
      </c>
      <c r="H64" s="22"/>
      <c r="I64" s="19" t="str">
        <f aca="false">IFERROR(IF($H64="","",INDEX('Öğretim Elemanları'!$A$4:$A$49,MATCH($H64,'Öğretim Elemanları'!$C$4:$C$49,0))),"")</f>
        <v/>
      </c>
    </row>
    <row r="65" customFormat="false" ht="15.75" hidden="false" customHeight="true" outlineLevel="0" collapsed="false">
      <c r="A65" s="17" t="str">
        <f aca="false">'1-Ders Havuzu'!K65</f>
        <v>Seçilmedi</v>
      </c>
      <c r="B65" s="17" t="str">
        <f aca="false">IF($A65="Seçildi",IF('1-Ders Havuzu'!C65="","",'1-Ders Havuzu'!C65),"")</f>
        <v/>
      </c>
      <c r="C65" s="24" t="str">
        <f aca="false">IF($A65="Seçildi",IF('1-Ders Havuzu'!D65="","",'1-Ders Havuzu'!D65),"")</f>
        <v/>
      </c>
      <c r="D65" s="17" t="str">
        <f aca="false">IF($A65="Seçildi",IF('1-Ders Havuzu'!A65="","",'1-Ders Havuzu'!A65),"")</f>
        <v/>
      </c>
      <c r="E65" s="17" t="str">
        <f aca="false">IF($A65="Seçildi",IF('1-Ders Havuzu'!B65="","",'1-Ders Havuzu'!B65),"")</f>
        <v/>
      </c>
      <c r="F65" s="17" t="str">
        <f aca="false">IF($A65="Seçildi",IF('1-Ders Havuzu'!J65="","",'1-Ders Havuzu'!J65),"")</f>
        <v/>
      </c>
      <c r="G65" s="17" t="str">
        <f aca="false">IF($A65="Seçildi",IF('1-Ders Havuzu'!H65="","",'1-Ders Havuzu'!H65),"")</f>
        <v/>
      </c>
      <c r="H65" s="22"/>
      <c r="I65" s="17" t="str">
        <f aca="false">IFERROR(IF($H65="","",INDEX('Öğretim Elemanları'!$A$4:$A$49,MATCH($H65,'Öğretim Elemanları'!$C$4:$C$49,0))),"")</f>
        <v/>
      </c>
    </row>
    <row r="66" customFormat="false" ht="15.75" hidden="false" customHeight="true" outlineLevel="0" collapsed="false">
      <c r="A66" s="19" t="str">
        <f aca="false">'1-Ders Havuzu'!K66</f>
        <v>Seçilmedi</v>
      </c>
      <c r="B66" s="19" t="str">
        <f aca="false">IF($A66="Seçildi",IF('1-Ders Havuzu'!C66="","",'1-Ders Havuzu'!C66),"")</f>
        <v/>
      </c>
      <c r="C66" s="26" t="str">
        <f aca="false">IF($A66="Seçildi",IF('1-Ders Havuzu'!D66="","",'1-Ders Havuzu'!D66),"")</f>
        <v/>
      </c>
      <c r="D66" s="19" t="str">
        <f aca="false">IF($A66="Seçildi",IF('1-Ders Havuzu'!A66="","",'1-Ders Havuzu'!A66),"")</f>
        <v/>
      </c>
      <c r="E66" s="19" t="str">
        <f aca="false">IF($A66="Seçildi",IF('1-Ders Havuzu'!B66="","",'1-Ders Havuzu'!B66),"")</f>
        <v/>
      </c>
      <c r="F66" s="19" t="str">
        <f aca="false">IF($A66="Seçildi",IF('1-Ders Havuzu'!J66="","",'1-Ders Havuzu'!J66),"")</f>
        <v/>
      </c>
      <c r="G66" s="19" t="str">
        <f aca="false">IF($A66="Seçildi",IF('1-Ders Havuzu'!H66="","",'1-Ders Havuzu'!H66),"")</f>
        <v/>
      </c>
      <c r="H66" s="22"/>
      <c r="I66" s="19" t="str">
        <f aca="false">IFERROR(IF($H66="","",INDEX('Öğretim Elemanları'!$A$4:$A$49,MATCH($H66,'Öğretim Elemanları'!$C$4:$C$49,0))),"")</f>
        <v/>
      </c>
    </row>
    <row r="67" customFormat="false" ht="15.75" hidden="false" customHeight="true" outlineLevel="0" collapsed="false">
      <c r="A67" s="17" t="str">
        <f aca="false">'1-Ders Havuzu'!K67</f>
        <v>Seçilmedi</v>
      </c>
      <c r="B67" s="17" t="str">
        <f aca="false">IF($A67="Seçildi",IF('1-Ders Havuzu'!C67="","",'1-Ders Havuzu'!C67),"")</f>
        <v/>
      </c>
      <c r="C67" s="24" t="str">
        <f aca="false">IF($A67="Seçildi",IF('1-Ders Havuzu'!D67="","",'1-Ders Havuzu'!D67),"")</f>
        <v/>
      </c>
      <c r="D67" s="17" t="str">
        <f aca="false">IF($A67="Seçildi",IF('1-Ders Havuzu'!A67="","",'1-Ders Havuzu'!A67),"")</f>
        <v/>
      </c>
      <c r="E67" s="17" t="str">
        <f aca="false">IF($A67="Seçildi",IF('1-Ders Havuzu'!B67="","",'1-Ders Havuzu'!B67),"")</f>
        <v/>
      </c>
      <c r="F67" s="17" t="str">
        <f aca="false">IF($A67="Seçildi",IF('1-Ders Havuzu'!J67="","",'1-Ders Havuzu'!J67),"")</f>
        <v/>
      </c>
      <c r="G67" s="17" t="str">
        <f aca="false">IF($A67="Seçildi",IF('1-Ders Havuzu'!H67="","",'1-Ders Havuzu'!H67),"")</f>
        <v/>
      </c>
      <c r="H67" s="22"/>
      <c r="I67" s="17" t="str">
        <f aca="false">IFERROR(IF($H67="","",INDEX('Öğretim Elemanları'!$A$4:$A$49,MATCH($H67,'Öğretim Elemanları'!$C$4:$C$49,0))),"")</f>
        <v/>
      </c>
    </row>
    <row r="68" customFormat="false" ht="15.75" hidden="false" customHeight="true" outlineLevel="0" collapsed="false">
      <c r="A68" s="19" t="str">
        <f aca="false">'1-Ders Havuzu'!K68</f>
        <v>Seçilmedi</v>
      </c>
      <c r="B68" s="19" t="str">
        <f aca="false">IF($A68="Seçildi",IF('1-Ders Havuzu'!C68="","",'1-Ders Havuzu'!C68),"")</f>
        <v/>
      </c>
      <c r="C68" s="26" t="str">
        <f aca="false">IF($A68="Seçildi",IF('1-Ders Havuzu'!D68="","",'1-Ders Havuzu'!D68),"")</f>
        <v/>
      </c>
      <c r="D68" s="19" t="str">
        <f aca="false">IF($A68="Seçildi",IF('1-Ders Havuzu'!A68="","",'1-Ders Havuzu'!A68),"")</f>
        <v/>
      </c>
      <c r="E68" s="19" t="str">
        <f aca="false">IF($A68="Seçildi",IF('1-Ders Havuzu'!B68="","",'1-Ders Havuzu'!B68),"")</f>
        <v/>
      </c>
      <c r="F68" s="19" t="str">
        <f aca="false">IF($A68="Seçildi",IF('1-Ders Havuzu'!J68="","",'1-Ders Havuzu'!J68),"")</f>
        <v/>
      </c>
      <c r="G68" s="19" t="str">
        <f aca="false">IF($A68="Seçildi",IF('1-Ders Havuzu'!H68="","",'1-Ders Havuzu'!H68),"")</f>
        <v/>
      </c>
      <c r="H68" s="22"/>
      <c r="I68" s="19" t="str">
        <f aca="false">IFERROR(IF($H68="","",INDEX('Öğretim Elemanları'!$A$4:$A$49,MATCH($H68,'Öğretim Elemanları'!$C$4:$C$49,0))),"")</f>
        <v/>
      </c>
    </row>
    <row r="69" customFormat="false" ht="15.75" hidden="false" customHeight="true" outlineLevel="0" collapsed="false">
      <c r="A69" s="17" t="str">
        <f aca="false">'1-Ders Havuzu'!K69</f>
        <v>Seçilmedi</v>
      </c>
      <c r="B69" s="17" t="str">
        <f aca="false">IF($A69="Seçildi",IF('1-Ders Havuzu'!C69="","",'1-Ders Havuzu'!C69),"")</f>
        <v/>
      </c>
      <c r="C69" s="24" t="str">
        <f aca="false">IF($A69="Seçildi",IF('1-Ders Havuzu'!D69="","",'1-Ders Havuzu'!D69),"")</f>
        <v/>
      </c>
      <c r="D69" s="17" t="str">
        <f aca="false">IF($A69="Seçildi",IF('1-Ders Havuzu'!A69="","",'1-Ders Havuzu'!A69),"")</f>
        <v/>
      </c>
      <c r="E69" s="17" t="str">
        <f aca="false">IF($A69="Seçildi",IF('1-Ders Havuzu'!B69="","",'1-Ders Havuzu'!B69),"")</f>
        <v/>
      </c>
      <c r="F69" s="17" t="str">
        <f aca="false">IF($A69="Seçildi",IF('1-Ders Havuzu'!J69="","",'1-Ders Havuzu'!J69),"")</f>
        <v/>
      </c>
      <c r="G69" s="17" t="str">
        <f aca="false">IF($A69="Seçildi",IF('1-Ders Havuzu'!H69="","",'1-Ders Havuzu'!H69),"")</f>
        <v/>
      </c>
      <c r="H69" s="22"/>
      <c r="I69" s="17" t="str">
        <f aca="false">IFERROR(IF($H69="","",INDEX('Öğretim Elemanları'!$A$4:$A$49,MATCH($H69,'Öğretim Elemanları'!$C$4:$C$49,0))),"")</f>
        <v/>
      </c>
    </row>
    <row r="70" customFormat="false" ht="15.75" hidden="false" customHeight="true" outlineLevel="0" collapsed="false">
      <c r="A70" s="19" t="str">
        <f aca="false">'1-Ders Havuzu'!K70</f>
        <v>Seçilmedi</v>
      </c>
      <c r="B70" s="19" t="str">
        <f aca="false">IF($A70="Seçildi",IF('1-Ders Havuzu'!C70="","",'1-Ders Havuzu'!C70),"")</f>
        <v/>
      </c>
      <c r="C70" s="26" t="str">
        <f aca="false">IF($A70="Seçildi",IF('1-Ders Havuzu'!D70="","",'1-Ders Havuzu'!D70),"")</f>
        <v/>
      </c>
      <c r="D70" s="19" t="str">
        <f aca="false">IF($A70="Seçildi",IF('1-Ders Havuzu'!A70="","",'1-Ders Havuzu'!A70),"")</f>
        <v/>
      </c>
      <c r="E70" s="19" t="str">
        <f aca="false">IF($A70="Seçildi",IF('1-Ders Havuzu'!B70="","",'1-Ders Havuzu'!B70),"")</f>
        <v/>
      </c>
      <c r="F70" s="19" t="str">
        <f aca="false">IF($A70="Seçildi",IF('1-Ders Havuzu'!J70="","",'1-Ders Havuzu'!J70),"")</f>
        <v/>
      </c>
      <c r="G70" s="19" t="str">
        <f aca="false">IF($A70="Seçildi",IF('1-Ders Havuzu'!H70="","",'1-Ders Havuzu'!H70),"")</f>
        <v/>
      </c>
      <c r="H70" s="22"/>
      <c r="I70" s="19" t="str">
        <f aca="false">IFERROR(IF($H70="","",INDEX('Öğretim Elemanları'!$A$4:$A$49,MATCH($H70,'Öğretim Elemanları'!$C$4:$C$49,0))),"")</f>
        <v/>
      </c>
    </row>
    <row r="71" customFormat="false" ht="15.75" hidden="false" customHeight="true" outlineLevel="0" collapsed="false">
      <c r="A71" s="17" t="str">
        <f aca="false">'1-Ders Havuzu'!K71</f>
        <v>Seçilmedi</v>
      </c>
      <c r="B71" s="17" t="str">
        <f aca="false">IF($A71="Seçildi",IF('1-Ders Havuzu'!C71="","",'1-Ders Havuzu'!C71),"")</f>
        <v/>
      </c>
      <c r="C71" s="24" t="str">
        <f aca="false">IF($A71="Seçildi",IF('1-Ders Havuzu'!D71="","",'1-Ders Havuzu'!D71),"")</f>
        <v/>
      </c>
      <c r="D71" s="17" t="str">
        <f aca="false">IF($A71="Seçildi",IF('1-Ders Havuzu'!A71="","",'1-Ders Havuzu'!A71),"")</f>
        <v/>
      </c>
      <c r="E71" s="17" t="str">
        <f aca="false">IF($A71="Seçildi",IF('1-Ders Havuzu'!B71="","",'1-Ders Havuzu'!B71),"")</f>
        <v/>
      </c>
      <c r="F71" s="17" t="str">
        <f aca="false">IF($A71="Seçildi",IF('1-Ders Havuzu'!J71="","",'1-Ders Havuzu'!J71),"")</f>
        <v/>
      </c>
      <c r="G71" s="17" t="str">
        <f aca="false">IF($A71="Seçildi",IF('1-Ders Havuzu'!H71="","",'1-Ders Havuzu'!H71),"")</f>
        <v/>
      </c>
      <c r="H71" s="22"/>
      <c r="I71" s="17" t="str">
        <f aca="false">IFERROR(IF($H71="","",INDEX('Öğretim Elemanları'!$A$4:$A$49,MATCH($H71,'Öğretim Elemanları'!$C$4:$C$49,0))),"")</f>
        <v/>
      </c>
    </row>
    <row r="72" customFormat="false" ht="15.75" hidden="false" customHeight="true" outlineLevel="0" collapsed="false">
      <c r="A72" s="19" t="str">
        <f aca="false">'1-Ders Havuzu'!K72</f>
        <v>Seçilmedi</v>
      </c>
      <c r="B72" s="19" t="str">
        <f aca="false">IF($A72="Seçildi",IF('1-Ders Havuzu'!C72="","",'1-Ders Havuzu'!C72),"")</f>
        <v/>
      </c>
      <c r="C72" s="26" t="str">
        <f aca="false">IF($A72="Seçildi",IF('1-Ders Havuzu'!D72="","",'1-Ders Havuzu'!D72),"")</f>
        <v/>
      </c>
      <c r="D72" s="19" t="str">
        <f aca="false">IF($A72="Seçildi",IF('1-Ders Havuzu'!A72="","",'1-Ders Havuzu'!A72),"")</f>
        <v/>
      </c>
      <c r="E72" s="19" t="str">
        <f aca="false">IF($A72="Seçildi",IF('1-Ders Havuzu'!B72="","",'1-Ders Havuzu'!B72),"")</f>
        <v/>
      </c>
      <c r="F72" s="19" t="str">
        <f aca="false">IF($A72="Seçildi",IF('1-Ders Havuzu'!J72="","",'1-Ders Havuzu'!J72),"")</f>
        <v/>
      </c>
      <c r="G72" s="19" t="str">
        <f aca="false">IF($A72="Seçildi",IF('1-Ders Havuzu'!H72="","",'1-Ders Havuzu'!H72),"")</f>
        <v/>
      </c>
      <c r="H72" s="22"/>
      <c r="I72" s="19" t="str">
        <f aca="false">IFERROR(IF($H72="","",INDEX('Öğretim Elemanları'!$A$4:$A$49,MATCH($H72,'Öğretim Elemanları'!$C$4:$C$49,0))),"")</f>
        <v/>
      </c>
    </row>
    <row r="73" customFormat="false" ht="15.75" hidden="false" customHeight="true" outlineLevel="0" collapsed="false">
      <c r="A73" s="17" t="str">
        <f aca="false">'1-Ders Havuzu'!K73</f>
        <v>Seçilmedi</v>
      </c>
      <c r="B73" s="17" t="str">
        <f aca="false">IF($A73="Seçildi",IF('1-Ders Havuzu'!C73="","",'1-Ders Havuzu'!C73),"")</f>
        <v/>
      </c>
      <c r="C73" s="24" t="str">
        <f aca="false">IF($A73="Seçildi",IF('1-Ders Havuzu'!D73="","",'1-Ders Havuzu'!D73),"")</f>
        <v/>
      </c>
      <c r="D73" s="17" t="str">
        <f aca="false">IF($A73="Seçildi",IF('1-Ders Havuzu'!A73="","",'1-Ders Havuzu'!A73),"")</f>
        <v/>
      </c>
      <c r="E73" s="17" t="str">
        <f aca="false">IF($A73="Seçildi",IF('1-Ders Havuzu'!B73="","",'1-Ders Havuzu'!B73),"")</f>
        <v/>
      </c>
      <c r="F73" s="17" t="str">
        <f aca="false">IF($A73="Seçildi",IF('1-Ders Havuzu'!J73="","",'1-Ders Havuzu'!J73),"")</f>
        <v/>
      </c>
      <c r="G73" s="17" t="str">
        <f aca="false">IF($A73="Seçildi",IF('1-Ders Havuzu'!H73="","",'1-Ders Havuzu'!H73),"")</f>
        <v/>
      </c>
      <c r="H73" s="22"/>
      <c r="I73" s="17" t="str">
        <f aca="false">IFERROR(IF($H73="","",INDEX('Öğretim Elemanları'!$A$4:$A$49,MATCH($H73,'Öğretim Elemanları'!$C$4:$C$49,0))),"")</f>
        <v/>
      </c>
    </row>
    <row r="74" customFormat="false" ht="15.75" hidden="false" customHeight="true" outlineLevel="0" collapsed="false">
      <c r="A74" s="19" t="str">
        <f aca="false">'1-Ders Havuzu'!K74</f>
        <v>Seçilmedi</v>
      </c>
      <c r="B74" s="19" t="str">
        <f aca="false">IF($A74="Seçildi",IF('1-Ders Havuzu'!C74="","",'1-Ders Havuzu'!C74),"")</f>
        <v/>
      </c>
      <c r="C74" s="26" t="str">
        <f aca="false">IF($A74="Seçildi",IF('1-Ders Havuzu'!D74="","",'1-Ders Havuzu'!D74),"")</f>
        <v/>
      </c>
      <c r="D74" s="19" t="str">
        <f aca="false">IF($A74="Seçildi",IF('1-Ders Havuzu'!A74="","",'1-Ders Havuzu'!A74),"")</f>
        <v/>
      </c>
      <c r="E74" s="19" t="str">
        <f aca="false">IF($A74="Seçildi",IF('1-Ders Havuzu'!B74="","",'1-Ders Havuzu'!B74),"")</f>
        <v/>
      </c>
      <c r="F74" s="19" t="str">
        <f aca="false">IF($A74="Seçildi",IF('1-Ders Havuzu'!J74="","",'1-Ders Havuzu'!J74),"")</f>
        <v/>
      </c>
      <c r="G74" s="19" t="str">
        <f aca="false">IF($A74="Seçildi",IF('1-Ders Havuzu'!H74="","",'1-Ders Havuzu'!H74),"")</f>
        <v/>
      </c>
      <c r="H74" s="22"/>
      <c r="I74" s="19" t="str">
        <f aca="false">IFERROR(IF($H74="","",INDEX('Öğretim Elemanları'!$A$4:$A$49,MATCH($H74,'Öğretim Elemanları'!$C$4:$C$49,0))),"")</f>
        <v/>
      </c>
    </row>
    <row r="75" customFormat="false" ht="15.75" hidden="false" customHeight="true" outlineLevel="0" collapsed="false">
      <c r="A75" s="17" t="str">
        <f aca="false">'1-Ders Havuzu'!K75</f>
        <v>Seçilmedi</v>
      </c>
      <c r="B75" s="17" t="str">
        <f aca="false">IF($A75="Seçildi",IF('1-Ders Havuzu'!C75="","",'1-Ders Havuzu'!C75),"")</f>
        <v/>
      </c>
      <c r="C75" s="24" t="str">
        <f aca="false">IF($A75="Seçildi",IF('1-Ders Havuzu'!D75="","",'1-Ders Havuzu'!D75),"")</f>
        <v/>
      </c>
      <c r="D75" s="17" t="str">
        <f aca="false">IF($A75="Seçildi",IF('1-Ders Havuzu'!A75="","",'1-Ders Havuzu'!A75),"")</f>
        <v/>
      </c>
      <c r="E75" s="17" t="str">
        <f aca="false">IF($A75="Seçildi",IF('1-Ders Havuzu'!B75="","",'1-Ders Havuzu'!B75),"")</f>
        <v/>
      </c>
      <c r="F75" s="17" t="str">
        <f aca="false">IF($A75="Seçildi",IF('1-Ders Havuzu'!J75="","",'1-Ders Havuzu'!J75),"")</f>
        <v/>
      </c>
      <c r="G75" s="17" t="str">
        <f aca="false">IF($A75="Seçildi",IF('1-Ders Havuzu'!H75="","",'1-Ders Havuzu'!H75),"")</f>
        <v/>
      </c>
      <c r="H75" s="22"/>
      <c r="I75" s="17" t="str">
        <f aca="false">IFERROR(IF($H75="","",INDEX('Öğretim Elemanları'!$A$4:$A$49,MATCH($H75,'Öğretim Elemanları'!$C$4:$C$49,0))),"")</f>
        <v/>
      </c>
    </row>
    <row r="76" customFormat="false" ht="15.75" hidden="false" customHeight="true" outlineLevel="0" collapsed="false">
      <c r="A76" s="19" t="str">
        <f aca="false">'1-Ders Havuzu'!K76</f>
        <v>Seçilmedi</v>
      </c>
      <c r="B76" s="19" t="str">
        <f aca="false">IF($A76="Seçildi",IF('1-Ders Havuzu'!C76="","",'1-Ders Havuzu'!C76),"")</f>
        <v/>
      </c>
      <c r="C76" s="26" t="str">
        <f aca="false">IF($A76="Seçildi",IF('1-Ders Havuzu'!D76="","",'1-Ders Havuzu'!D76),"")</f>
        <v/>
      </c>
      <c r="D76" s="19" t="str">
        <f aca="false">IF($A76="Seçildi",IF('1-Ders Havuzu'!A76="","",'1-Ders Havuzu'!A76),"")</f>
        <v/>
      </c>
      <c r="E76" s="19" t="str">
        <f aca="false">IF($A76="Seçildi",IF('1-Ders Havuzu'!B76="","",'1-Ders Havuzu'!B76),"")</f>
        <v/>
      </c>
      <c r="F76" s="19" t="str">
        <f aca="false">IF($A76="Seçildi",IF('1-Ders Havuzu'!J76="","",'1-Ders Havuzu'!J76),"")</f>
        <v/>
      </c>
      <c r="G76" s="19" t="str">
        <f aca="false">IF($A76="Seçildi",IF('1-Ders Havuzu'!H76="","",'1-Ders Havuzu'!H76),"")</f>
        <v/>
      </c>
      <c r="H76" s="22"/>
      <c r="I76" s="19" t="str">
        <f aca="false">IFERROR(IF($H76="","",INDEX('Öğretim Elemanları'!$A$4:$A$49,MATCH($H76,'Öğretim Elemanları'!$C$4:$C$49,0))),"")</f>
        <v/>
      </c>
    </row>
    <row r="77" customFormat="false" ht="15.75" hidden="false" customHeight="true" outlineLevel="0" collapsed="false">
      <c r="A77" s="17" t="str">
        <f aca="false">'1-Ders Havuzu'!K77</f>
        <v>Seçilmedi</v>
      </c>
      <c r="B77" s="17" t="str">
        <f aca="false">IF($A77="Seçildi",IF('1-Ders Havuzu'!C77="","",'1-Ders Havuzu'!C77),"")</f>
        <v/>
      </c>
      <c r="C77" s="24" t="str">
        <f aca="false">IF($A77="Seçildi",IF('1-Ders Havuzu'!D77="","",'1-Ders Havuzu'!D77),"")</f>
        <v/>
      </c>
      <c r="D77" s="17" t="str">
        <f aca="false">IF($A77="Seçildi",IF('1-Ders Havuzu'!A77="","",'1-Ders Havuzu'!A77),"")</f>
        <v/>
      </c>
      <c r="E77" s="17" t="str">
        <f aca="false">IF($A77="Seçildi",IF('1-Ders Havuzu'!B77="","",'1-Ders Havuzu'!B77),"")</f>
        <v/>
      </c>
      <c r="F77" s="17" t="str">
        <f aca="false">IF($A77="Seçildi",IF('1-Ders Havuzu'!J77="","",'1-Ders Havuzu'!J77),"")</f>
        <v/>
      </c>
      <c r="G77" s="17" t="str">
        <f aca="false">IF($A77="Seçildi",IF('1-Ders Havuzu'!H77="","",'1-Ders Havuzu'!H77),"")</f>
        <v/>
      </c>
      <c r="H77" s="22"/>
      <c r="I77" s="17" t="str">
        <f aca="false">IFERROR(IF($H77="","",INDEX('Öğretim Elemanları'!$A$4:$A$49,MATCH($H77,'Öğretim Elemanları'!$C$4:$C$49,0))),"")</f>
        <v/>
      </c>
    </row>
    <row r="78" customFormat="false" ht="15.75" hidden="false" customHeight="true" outlineLevel="0" collapsed="false">
      <c r="A78" s="19" t="str">
        <f aca="false">'1-Ders Havuzu'!K78</f>
        <v>Seçilmedi</v>
      </c>
      <c r="B78" s="19" t="str">
        <f aca="false">IF($A78="Seçildi",IF('1-Ders Havuzu'!C78="","",'1-Ders Havuzu'!C78),"")</f>
        <v/>
      </c>
      <c r="C78" s="26" t="str">
        <f aca="false">IF($A78="Seçildi",IF('1-Ders Havuzu'!D78="","",'1-Ders Havuzu'!D78),"")</f>
        <v/>
      </c>
      <c r="D78" s="19" t="str">
        <f aca="false">IF($A78="Seçildi",IF('1-Ders Havuzu'!A78="","",'1-Ders Havuzu'!A78),"")</f>
        <v/>
      </c>
      <c r="E78" s="19" t="str">
        <f aca="false">IF($A78="Seçildi",IF('1-Ders Havuzu'!B78="","",'1-Ders Havuzu'!B78),"")</f>
        <v/>
      </c>
      <c r="F78" s="19" t="str">
        <f aca="false">IF($A78="Seçildi",IF('1-Ders Havuzu'!J78="","",'1-Ders Havuzu'!J78),"")</f>
        <v/>
      </c>
      <c r="G78" s="19" t="str">
        <f aca="false">IF($A78="Seçildi",IF('1-Ders Havuzu'!H78="","",'1-Ders Havuzu'!H78),"")</f>
        <v/>
      </c>
      <c r="H78" s="22"/>
      <c r="I78" s="19" t="str">
        <f aca="false">IFERROR(IF($H78="","",INDEX('Öğretim Elemanları'!$A$4:$A$49,MATCH($H78,'Öğretim Elemanları'!$C$4:$C$49,0))),"")</f>
        <v/>
      </c>
    </row>
    <row r="79" customFormat="false" ht="15.75" hidden="false" customHeight="true" outlineLevel="0" collapsed="false">
      <c r="A79" s="17" t="str">
        <f aca="false">'1-Ders Havuzu'!K79</f>
        <v>Seçilmedi</v>
      </c>
      <c r="B79" s="17" t="str">
        <f aca="false">IF($A79="Seçildi",IF('1-Ders Havuzu'!C79="","",'1-Ders Havuzu'!C79),"")</f>
        <v/>
      </c>
      <c r="C79" s="24" t="str">
        <f aca="false">IF($A79="Seçildi",IF('1-Ders Havuzu'!D79="","",'1-Ders Havuzu'!D79),"")</f>
        <v/>
      </c>
      <c r="D79" s="17" t="str">
        <f aca="false">IF($A79="Seçildi",IF('1-Ders Havuzu'!A79="","",'1-Ders Havuzu'!A79),"")</f>
        <v/>
      </c>
      <c r="E79" s="17" t="str">
        <f aca="false">IF($A79="Seçildi",IF('1-Ders Havuzu'!B79="","",'1-Ders Havuzu'!B79),"")</f>
        <v/>
      </c>
      <c r="F79" s="17" t="str">
        <f aca="false">IF($A79="Seçildi",IF('1-Ders Havuzu'!J79="","",'1-Ders Havuzu'!J79),"")</f>
        <v/>
      </c>
      <c r="G79" s="17" t="str">
        <f aca="false">IF($A79="Seçildi",IF('1-Ders Havuzu'!H79="","",'1-Ders Havuzu'!H79),"")</f>
        <v/>
      </c>
      <c r="H79" s="22"/>
      <c r="I79" s="17" t="str">
        <f aca="false">IFERROR(IF($H79="","",INDEX('Öğretim Elemanları'!$A$4:$A$49,MATCH($H79,'Öğretim Elemanları'!$C$4:$C$49,0))),"")</f>
        <v/>
      </c>
    </row>
    <row r="80" customFormat="false" ht="15.75" hidden="false" customHeight="true" outlineLevel="0" collapsed="false">
      <c r="A80" s="19" t="str">
        <f aca="false">'1-Ders Havuzu'!K80</f>
        <v>Seçilmedi</v>
      </c>
      <c r="B80" s="19" t="str">
        <f aca="false">IF($A80="Seçildi",IF('1-Ders Havuzu'!C80="","",'1-Ders Havuzu'!C80),"")</f>
        <v/>
      </c>
      <c r="C80" s="26" t="str">
        <f aca="false">IF($A80="Seçildi",IF('1-Ders Havuzu'!D80="","",'1-Ders Havuzu'!D80),"")</f>
        <v/>
      </c>
      <c r="D80" s="19" t="str">
        <f aca="false">IF($A80="Seçildi",IF('1-Ders Havuzu'!A80="","",'1-Ders Havuzu'!A80),"")</f>
        <v/>
      </c>
      <c r="E80" s="19" t="str">
        <f aca="false">IF($A80="Seçildi",IF('1-Ders Havuzu'!B80="","",'1-Ders Havuzu'!B80),"")</f>
        <v/>
      </c>
      <c r="F80" s="19" t="str">
        <f aca="false">IF($A80="Seçildi",IF('1-Ders Havuzu'!J80="","",'1-Ders Havuzu'!J80),"")</f>
        <v/>
      </c>
      <c r="G80" s="19" t="str">
        <f aca="false">IF($A80="Seçildi",IF('1-Ders Havuzu'!H80="","",'1-Ders Havuzu'!H80),"")</f>
        <v/>
      </c>
      <c r="H80" s="22"/>
      <c r="I80" s="19" t="str">
        <f aca="false">IFERROR(IF($H80="","",INDEX('Öğretim Elemanları'!$A$4:$A$49,MATCH($H80,'Öğretim Elemanları'!$C$4:$C$49,0))),"")</f>
        <v/>
      </c>
    </row>
    <row r="81" customFormat="false" ht="15.75" hidden="false" customHeight="true" outlineLevel="0" collapsed="false">
      <c r="A81" s="17" t="str">
        <f aca="false">'1-Ders Havuzu'!K81</f>
        <v>Seçilmedi</v>
      </c>
      <c r="B81" s="17" t="str">
        <f aca="false">IF($A81="Seçildi",IF('1-Ders Havuzu'!C81="","",'1-Ders Havuzu'!C81),"")</f>
        <v/>
      </c>
      <c r="C81" s="24" t="str">
        <f aca="false">IF($A81="Seçildi",IF('1-Ders Havuzu'!D81="","",'1-Ders Havuzu'!D81),"")</f>
        <v/>
      </c>
      <c r="D81" s="17" t="str">
        <f aca="false">IF($A81="Seçildi",IF('1-Ders Havuzu'!A81="","",'1-Ders Havuzu'!A81),"")</f>
        <v/>
      </c>
      <c r="E81" s="17" t="str">
        <f aca="false">IF($A81="Seçildi",IF('1-Ders Havuzu'!B81="","",'1-Ders Havuzu'!B81),"")</f>
        <v/>
      </c>
      <c r="F81" s="17" t="str">
        <f aca="false">IF($A81="Seçildi",IF('1-Ders Havuzu'!J81="","",'1-Ders Havuzu'!J81),"")</f>
        <v/>
      </c>
      <c r="G81" s="17" t="str">
        <f aca="false">IF($A81="Seçildi",IF('1-Ders Havuzu'!H81="","",'1-Ders Havuzu'!H81),"")</f>
        <v/>
      </c>
      <c r="H81" s="22"/>
      <c r="I81" s="17" t="str">
        <f aca="false">IFERROR(IF($H81="","",INDEX('Öğretim Elemanları'!$A$4:$A$49,MATCH($H81,'Öğretim Elemanları'!$C$4:$C$49,0))),"")</f>
        <v/>
      </c>
    </row>
    <row r="82" customFormat="false" ht="15.75" hidden="false" customHeight="true" outlineLevel="0" collapsed="false">
      <c r="A82" s="19" t="str">
        <f aca="false">'1-Ders Havuzu'!K82</f>
        <v>Seçilmedi</v>
      </c>
      <c r="B82" s="19" t="str">
        <f aca="false">IF($A82="Seçildi",IF('1-Ders Havuzu'!C82="","",'1-Ders Havuzu'!C82),"")</f>
        <v/>
      </c>
      <c r="C82" s="26" t="str">
        <f aca="false">IF($A82="Seçildi",IF('1-Ders Havuzu'!D82="","",'1-Ders Havuzu'!D82),"")</f>
        <v/>
      </c>
      <c r="D82" s="19" t="str">
        <f aca="false">IF($A82="Seçildi",IF('1-Ders Havuzu'!A82="","",'1-Ders Havuzu'!A82),"")</f>
        <v/>
      </c>
      <c r="E82" s="19" t="str">
        <f aca="false">IF($A82="Seçildi",IF('1-Ders Havuzu'!B82="","",'1-Ders Havuzu'!B82),"")</f>
        <v/>
      </c>
      <c r="F82" s="19" t="str">
        <f aca="false">IF($A82="Seçildi",IF('1-Ders Havuzu'!J82="","",'1-Ders Havuzu'!J82),"")</f>
        <v/>
      </c>
      <c r="G82" s="19" t="str">
        <f aca="false">IF($A82="Seçildi",IF('1-Ders Havuzu'!H82="","",'1-Ders Havuzu'!H82),"")</f>
        <v/>
      </c>
      <c r="H82" s="22"/>
      <c r="I82" s="19" t="str">
        <f aca="false">IFERROR(IF($H82="","",INDEX('Öğretim Elemanları'!$A$4:$A$49,MATCH($H82,'Öğretim Elemanları'!$C$4:$C$49,0))),"")</f>
        <v/>
      </c>
    </row>
    <row r="83" customFormat="false" ht="15.75" hidden="false" customHeight="true" outlineLevel="0" collapsed="false">
      <c r="A83" s="17" t="str">
        <f aca="false">'1-Ders Havuzu'!K83</f>
        <v>Seçilmedi</v>
      </c>
      <c r="B83" s="17" t="str">
        <f aca="false">IF($A83="Seçildi",IF('1-Ders Havuzu'!C83="","",'1-Ders Havuzu'!C83),"")</f>
        <v/>
      </c>
      <c r="C83" s="24" t="str">
        <f aca="false">IF($A83="Seçildi",IF('1-Ders Havuzu'!D83="","",'1-Ders Havuzu'!D83),"")</f>
        <v/>
      </c>
      <c r="D83" s="17" t="str">
        <f aca="false">IF($A83="Seçildi",IF('1-Ders Havuzu'!A83="","",'1-Ders Havuzu'!A83),"")</f>
        <v/>
      </c>
      <c r="E83" s="17" t="str">
        <f aca="false">IF($A83="Seçildi",IF('1-Ders Havuzu'!B83="","",'1-Ders Havuzu'!B83),"")</f>
        <v/>
      </c>
      <c r="F83" s="17" t="str">
        <f aca="false">IF($A83="Seçildi",IF('1-Ders Havuzu'!J83="","",'1-Ders Havuzu'!J83),"")</f>
        <v/>
      </c>
      <c r="G83" s="17" t="str">
        <f aca="false">IF($A83="Seçildi",IF('1-Ders Havuzu'!H83="","",'1-Ders Havuzu'!H83),"")</f>
        <v/>
      </c>
      <c r="H83" s="22"/>
      <c r="I83" s="17" t="str">
        <f aca="false">IFERROR(IF($H83="","",INDEX('Öğretim Elemanları'!$A$4:$A$49,MATCH($H83,'Öğretim Elemanları'!$C$4:$C$49,0))),"")</f>
        <v/>
      </c>
    </row>
    <row r="84" customFormat="false" ht="15.75" hidden="false" customHeight="true" outlineLevel="0" collapsed="false">
      <c r="A84" s="19" t="str">
        <f aca="false">'1-Ders Havuzu'!K84</f>
        <v>Seçilmedi</v>
      </c>
      <c r="B84" s="19" t="str">
        <f aca="false">IF($A84="Seçildi",IF('1-Ders Havuzu'!C84="","",'1-Ders Havuzu'!C84),"")</f>
        <v/>
      </c>
      <c r="C84" s="26" t="str">
        <f aca="false">IF($A84="Seçildi",IF('1-Ders Havuzu'!D84="","",'1-Ders Havuzu'!D84),"")</f>
        <v/>
      </c>
      <c r="D84" s="19" t="str">
        <f aca="false">IF($A84="Seçildi",IF('1-Ders Havuzu'!A84="","",'1-Ders Havuzu'!A84),"")</f>
        <v/>
      </c>
      <c r="E84" s="19" t="str">
        <f aca="false">IF($A84="Seçildi",IF('1-Ders Havuzu'!B84="","",'1-Ders Havuzu'!B84),"")</f>
        <v/>
      </c>
      <c r="F84" s="19" t="str">
        <f aca="false">IF($A84="Seçildi",IF('1-Ders Havuzu'!J84="","",'1-Ders Havuzu'!J84),"")</f>
        <v/>
      </c>
      <c r="G84" s="19" t="str">
        <f aca="false">IF($A84="Seçildi",IF('1-Ders Havuzu'!H84="","",'1-Ders Havuzu'!H84),"")</f>
        <v/>
      </c>
      <c r="H84" s="22"/>
      <c r="I84" s="19" t="str">
        <f aca="false">IFERROR(IF($H84="","",INDEX('Öğretim Elemanları'!$A$4:$A$49,MATCH($H84,'Öğretim Elemanları'!$C$4:$C$49,0))),"")</f>
        <v/>
      </c>
    </row>
    <row r="85" customFormat="false" ht="15.75" hidden="false" customHeight="true" outlineLevel="0" collapsed="false">
      <c r="A85" s="17" t="str">
        <f aca="false">'1-Ders Havuzu'!K85</f>
        <v>Seçilmedi</v>
      </c>
      <c r="B85" s="17" t="str">
        <f aca="false">IF($A85="Seçildi",IF('1-Ders Havuzu'!C85="","",'1-Ders Havuzu'!C85),"")</f>
        <v/>
      </c>
      <c r="C85" s="24" t="str">
        <f aca="false">IF($A85="Seçildi",IF('1-Ders Havuzu'!D85="","",'1-Ders Havuzu'!D85),"")</f>
        <v/>
      </c>
      <c r="D85" s="17" t="str">
        <f aca="false">IF($A85="Seçildi",IF('1-Ders Havuzu'!A85="","",'1-Ders Havuzu'!A85),"")</f>
        <v/>
      </c>
      <c r="E85" s="17" t="str">
        <f aca="false">IF($A85="Seçildi",IF('1-Ders Havuzu'!B85="","",'1-Ders Havuzu'!B85),"")</f>
        <v/>
      </c>
      <c r="F85" s="17" t="str">
        <f aca="false">IF($A85="Seçildi",IF('1-Ders Havuzu'!J85="","",'1-Ders Havuzu'!J85),"")</f>
        <v/>
      </c>
      <c r="G85" s="17" t="str">
        <f aca="false">IF($A85="Seçildi",IF('1-Ders Havuzu'!H85="","",'1-Ders Havuzu'!H85),"")</f>
        <v/>
      </c>
      <c r="H85" s="22"/>
      <c r="I85" s="17" t="str">
        <f aca="false">IFERROR(IF($H85="","",INDEX('Öğretim Elemanları'!$A$4:$A$49,MATCH($H85,'Öğretim Elemanları'!$C$4:$C$49,0))),"")</f>
        <v/>
      </c>
    </row>
    <row r="86" customFormat="false" ht="15.75" hidden="false" customHeight="true" outlineLevel="0" collapsed="false">
      <c r="A86" s="19" t="str">
        <f aca="false">'1-Ders Havuzu'!K86</f>
        <v>Seçilmedi</v>
      </c>
      <c r="B86" s="19" t="str">
        <f aca="false">IF($A86="Seçildi",IF('1-Ders Havuzu'!C86="","",'1-Ders Havuzu'!C86),"")</f>
        <v/>
      </c>
      <c r="C86" s="26" t="str">
        <f aca="false">IF($A86="Seçildi",IF('1-Ders Havuzu'!D86="","",'1-Ders Havuzu'!D86),"")</f>
        <v/>
      </c>
      <c r="D86" s="19" t="str">
        <f aca="false">IF($A86="Seçildi",IF('1-Ders Havuzu'!A86="","",'1-Ders Havuzu'!A86),"")</f>
        <v/>
      </c>
      <c r="E86" s="19" t="str">
        <f aca="false">IF($A86="Seçildi",IF('1-Ders Havuzu'!B86="","",'1-Ders Havuzu'!B86),"")</f>
        <v/>
      </c>
      <c r="F86" s="19" t="str">
        <f aca="false">IF($A86="Seçildi",IF('1-Ders Havuzu'!J86="","",'1-Ders Havuzu'!J86),"")</f>
        <v/>
      </c>
      <c r="G86" s="19" t="str">
        <f aca="false">IF($A86="Seçildi",IF('1-Ders Havuzu'!H86="","",'1-Ders Havuzu'!H86),"")</f>
        <v/>
      </c>
      <c r="H86" s="22"/>
      <c r="I86" s="19" t="str">
        <f aca="false">IFERROR(IF($H86="","",INDEX('Öğretim Elemanları'!$A$4:$A$49,MATCH($H86,'Öğretim Elemanları'!$C$4:$C$49,0))),"")</f>
        <v/>
      </c>
    </row>
    <row r="87" customFormat="false" ht="15.75" hidden="false" customHeight="true" outlineLevel="0" collapsed="false">
      <c r="A87" s="17" t="str">
        <f aca="false">'1-Ders Havuzu'!K87</f>
        <v>Seçilmedi</v>
      </c>
      <c r="B87" s="17" t="str">
        <f aca="false">IF($A87="Seçildi",IF('1-Ders Havuzu'!C87="","",'1-Ders Havuzu'!C87),"")</f>
        <v/>
      </c>
      <c r="C87" s="24" t="str">
        <f aca="false">IF($A87="Seçildi",IF('1-Ders Havuzu'!D87="","",'1-Ders Havuzu'!D87),"")</f>
        <v/>
      </c>
      <c r="D87" s="17" t="str">
        <f aca="false">IF($A87="Seçildi",IF('1-Ders Havuzu'!A87="","",'1-Ders Havuzu'!A87),"")</f>
        <v/>
      </c>
      <c r="E87" s="17" t="str">
        <f aca="false">IF($A87="Seçildi",IF('1-Ders Havuzu'!B87="","",'1-Ders Havuzu'!B87),"")</f>
        <v/>
      </c>
      <c r="F87" s="17" t="str">
        <f aca="false">IF($A87="Seçildi",IF('1-Ders Havuzu'!J87="","",'1-Ders Havuzu'!J87),"")</f>
        <v/>
      </c>
      <c r="G87" s="17" t="str">
        <f aca="false">IF($A87="Seçildi",IF('1-Ders Havuzu'!H87="","",'1-Ders Havuzu'!H87),"")</f>
        <v/>
      </c>
      <c r="H87" s="22"/>
      <c r="I87" s="17" t="str">
        <f aca="false">IFERROR(IF($H87="","",INDEX('Öğretim Elemanları'!$A$4:$A$49,MATCH($H87,'Öğretim Elemanları'!$C$4:$C$49,0))),"")</f>
        <v/>
      </c>
    </row>
    <row r="88" customFormat="false" ht="15.75" hidden="false" customHeight="true" outlineLevel="0" collapsed="false">
      <c r="A88" s="19" t="str">
        <f aca="false">'1-Ders Havuzu'!K88</f>
        <v>Seçilmedi</v>
      </c>
      <c r="B88" s="19" t="str">
        <f aca="false">IF($A88="Seçildi",IF('1-Ders Havuzu'!C88="","",'1-Ders Havuzu'!C88),"")</f>
        <v/>
      </c>
      <c r="C88" s="26" t="str">
        <f aca="false">IF($A88="Seçildi",IF('1-Ders Havuzu'!D88="","",'1-Ders Havuzu'!D88),"")</f>
        <v/>
      </c>
      <c r="D88" s="19" t="str">
        <f aca="false">IF($A88="Seçildi",IF('1-Ders Havuzu'!A88="","",'1-Ders Havuzu'!A88),"")</f>
        <v/>
      </c>
      <c r="E88" s="19" t="str">
        <f aca="false">IF($A88="Seçildi",IF('1-Ders Havuzu'!B88="","",'1-Ders Havuzu'!B88),"")</f>
        <v/>
      </c>
      <c r="F88" s="19" t="str">
        <f aca="false">IF($A88="Seçildi",IF('1-Ders Havuzu'!J88="","",'1-Ders Havuzu'!J88),"")</f>
        <v/>
      </c>
      <c r="G88" s="19" t="str">
        <f aca="false">IF($A88="Seçildi",IF('1-Ders Havuzu'!H88="","",'1-Ders Havuzu'!H88),"")</f>
        <v/>
      </c>
      <c r="H88" s="22"/>
      <c r="I88" s="19" t="str">
        <f aca="false">IFERROR(IF($H88="","",INDEX('Öğretim Elemanları'!$A$4:$A$49,MATCH($H88,'Öğretim Elemanları'!$C$4:$C$49,0))),"")</f>
        <v/>
      </c>
    </row>
    <row r="89" customFormat="false" ht="15.75" hidden="false" customHeight="true" outlineLevel="0" collapsed="false">
      <c r="A89" s="17" t="str">
        <f aca="false">'1-Ders Havuzu'!K89</f>
        <v>Seçilmedi</v>
      </c>
      <c r="B89" s="17" t="str">
        <f aca="false">IF($A89="Seçildi",IF('1-Ders Havuzu'!C89="","",'1-Ders Havuzu'!C89),"")</f>
        <v/>
      </c>
      <c r="C89" s="24" t="str">
        <f aca="false">IF($A89="Seçildi",IF('1-Ders Havuzu'!D89="","",'1-Ders Havuzu'!D89),"")</f>
        <v/>
      </c>
      <c r="D89" s="17" t="str">
        <f aca="false">IF($A89="Seçildi",IF('1-Ders Havuzu'!A89="","",'1-Ders Havuzu'!A89),"")</f>
        <v/>
      </c>
      <c r="E89" s="17" t="str">
        <f aca="false">IF($A89="Seçildi",IF('1-Ders Havuzu'!B89="","",'1-Ders Havuzu'!B89),"")</f>
        <v/>
      </c>
      <c r="F89" s="17" t="str">
        <f aca="false">IF($A89="Seçildi",IF('1-Ders Havuzu'!J89="","",'1-Ders Havuzu'!J89),"")</f>
        <v/>
      </c>
      <c r="G89" s="17" t="str">
        <f aca="false">IF($A89="Seçildi",IF('1-Ders Havuzu'!H89="","",'1-Ders Havuzu'!H89),"")</f>
        <v/>
      </c>
      <c r="H89" s="22"/>
      <c r="I89" s="17" t="str">
        <f aca="false">IFERROR(IF($H89="","",INDEX('Öğretim Elemanları'!$A$4:$A$49,MATCH($H89,'Öğretim Elemanları'!$C$4:$C$49,0))),"")</f>
        <v/>
      </c>
    </row>
    <row r="90" customFormat="false" ht="15.75" hidden="false" customHeight="true" outlineLevel="0" collapsed="false">
      <c r="A90" s="19" t="str">
        <f aca="false">'1-Ders Havuzu'!K90</f>
        <v>Seçilmedi</v>
      </c>
      <c r="B90" s="19" t="str">
        <f aca="false">IF($A90="Seçildi",IF('1-Ders Havuzu'!C90="","",'1-Ders Havuzu'!C90),"")</f>
        <v/>
      </c>
      <c r="C90" s="26" t="str">
        <f aca="false">IF($A90="Seçildi",IF('1-Ders Havuzu'!D90="","",'1-Ders Havuzu'!D90),"")</f>
        <v/>
      </c>
      <c r="D90" s="19" t="str">
        <f aca="false">IF($A90="Seçildi",IF('1-Ders Havuzu'!A90="","",'1-Ders Havuzu'!A90),"")</f>
        <v/>
      </c>
      <c r="E90" s="19" t="str">
        <f aca="false">IF($A90="Seçildi",IF('1-Ders Havuzu'!B90="","",'1-Ders Havuzu'!B90),"")</f>
        <v/>
      </c>
      <c r="F90" s="19" t="str">
        <f aca="false">IF($A90="Seçildi",IF('1-Ders Havuzu'!J90="","",'1-Ders Havuzu'!J90),"")</f>
        <v/>
      </c>
      <c r="G90" s="19" t="str">
        <f aca="false">IF($A90="Seçildi",IF('1-Ders Havuzu'!H90="","",'1-Ders Havuzu'!H90),"")</f>
        <v/>
      </c>
      <c r="H90" s="22"/>
      <c r="I90" s="19" t="str">
        <f aca="false">IFERROR(IF($H90="","",INDEX('Öğretim Elemanları'!$A$4:$A$49,MATCH($H90,'Öğretim Elemanları'!$C$4:$C$49,0))),"")</f>
        <v/>
      </c>
    </row>
    <row r="91" customFormat="false" ht="15.75" hidden="false" customHeight="true" outlineLevel="0" collapsed="false">
      <c r="A91" s="17" t="str">
        <f aca="false">'1-Ders Havuzu'!K91</f>
        <v>Seçilmedi</v>
      </c>
      <c r="B91" s="17" t="str">
        <f aca="false">IF($A91="Seçildi",IF('1-Ders Havuzu'!C91="","",'1-Ders Havuzu'!C91),"")</f>
        <v/>
      </c>
      <c r="C91" s="24" t="str">
        <f aca="false">IF($A91="Seçildi",IF('1-Ders Havuzu'!D91="","",'1-Ders Havuzu'!D91),"")</f>
        <v/>
      </c>
      <c r="D91" s="17" t="str">
        <f aca="false">IF($A91="Seçildi",IF('1-Ders Havuzu'!A91="","",'1-Ders Havuzu'!A91),"")</f>
        <v/>
      </c>
      <c r="E91" s="17" t="str">
        <f aca="false">IF($A91="Seçildi",IF('1-Ders Havuzu'!B91="","",'1-Ders Havuzu'!B91),"")</f>
        <v/>
      </c>
      <c r="F91" s="17" t="str">
        <f aca="false">IF($A91="Seçildi",IF('1-Ders Havuzu'!J91="","",'1-Ders Havuzu'!J91),"")</f>
        <v/>
      </c>
      <c r="G91" s="17" t="str">
        <f aca="false">IF($A91="Seçildi",IF('1-Ders Havuzu'!H91="","",'1-Ders Havuzu'!H91),"")</f>
        <v/>
      </c>
      <c r="H91" s="22"/>
      <c r="I91" s="17" t="str">
        <f aca="false">IFERROR(IF($H91="","",INDEX('Öğretim Elemanları'!$A$4:$A$49,MATCH($H91,'Öğretim Elemanları'!$C$4:$C$49,0))),"")</f>
        <v/>
      </c>
    </row>
    <row r="92" customFormat="false" ht="15.75" hidden="false" customHeight="true" outlineLevel="0" collapsed="false">
      <c r="A92" s="19" t="str">
        <f aca="false">'1-Ders Havuzu'!K92</f>
        <v>Seçilmedi</v>
      </c>
      <c r="B92" s="19" t="str">
        <f aca="false">IF($A92="Seçildi",IF('1-Ders Havuzu'!C92="","",'1-Ders Havuzu'!C92),"")</f>
        <v/>
      </c>
      <c r="C92" s="26" t="str">
        <f aca="false">IF($A92="Seçildi",IF('1-Ders Havuzu'!D92="","",'1-Ders Havuzu'!D92),"")</f>
        <v/>
      </c>
      <c r="D92" s="19" t="str">
        <f aca="false">IF($A92="Seçildi",IF('1-Ders Havuzu'!A92="","",'1-Ders Havuzu'!A92),"")</f>
        <v/>
      </c>
      <c r="E92" s="19" t="str">
        <f aca="false">IF($A92="Seçildi",IF('1-Ders Havuzu'!B92="","",'1-Ders Havuzu'!B92),"")</f>
        <v/>
      </c>
      <c r="F92" s="19" t="str">
        <f aca="false">IF($A92="Seçildi",IF('1-Ders Havuzu'!J92="","",'1-Ders Havuzu'!J92),"")</f>
        <v/>
      </c>
      <c r="G92" s="19" t="str">
        <f aca="false">IF($A92="Seçildi",IF('1-Ders Havuzu'!H92="","",'1-Ders Havuzu'!H92),"")</f>
        <v/>
      </c>
      <c r="H92" s="22"/>
      <c r="I92" s="19" t="str">
        <f aca="false">IFERROR(IF($H92="","",INDEX('Öğretim Elemanları'!$A$4:$A$49,MATCH($H92,'Öğretim Elemanları'!$C$4:$C$49,0))),"")</f>
        <v/>
      </c>
    </row>
    <row r="93" customFormat="false" ht="15.75" hidden="false" customHeight="true" outlineLevel="0" collapsed="false">
      <c r="A93" s="17" t="str">
        <f aca="false">'1-Ders Havuzu'!K93</f>
        <v>Seçilmedi</v>
      </c>
      <c r="B93" s="17" t="str">
        <f aca="false">IF($A93="Seçildi",IF('1-Ders Havuzu'!C93="","",'1-Ders Havuzu'!C93),"")</f>
        <v/>
      </c>
      <c r="C93" s="24" t="str">
        <f aca="false">IF($A93="Seçildi",IF('1-Ders Havuzu'!D93="","",'1-Ders Havuzu'!D93),"")</f>
        <v/>
      </c>
      <c r="D93" s="17" t="str">
        <f aca="false">IF($A93="Seçildi",IF('1-Ders Havuzu'!A93="","",'1-Ders Havuzu'!A93),"")</f>
        <v/>
      </c>
      <c r="E93" s="17" t="str">
        <f aca="false">IF($A93="Seçildi",IF('1-Ders Havuzu'!B93="","",'1-Ders Havuzu'!B93),"")</f>
        <v/>
      </c>
      <c r="F93" s="17" t="str">
        <f aca="false">IF($A93="Seçildi",IF('1-Ders Havuzu'!J93="","",'1-Ders Havuzu'!J93),"")</f>
        <v/>
      </c>
      <c r="G93" s="17" t="str">
        <f aca="false">IF($A93="Seçildi",IF('1-Ders Havuzu'!H93="","",'1-Ders Havuzu'!H93),"")</f>
        <v/>
      </c>
      <c r="H93" s="22"/>
      <c r="I93" s="17" t="str">
        <f aca="false">IFERROR(IF($H93="","",INDEX('Öğretim Elemanları'!$A$4:$A$49,MATCH($H93,'Öğretim Elemanları'!$C$4:$C$49,0))),"")</f>
        <v/>
      </c>
    </row>
    <row r="94" customFormat="false" ht="15.75" hidden="false" customHeight="true" outlineLevel="0" collapsed="false">
      <c r="A94" s="19" t="str">
        <f aca="false">'1-Ders Havuzu'!K94</f>
        <v>Seçilmedi</v>
      </c>
      <c r="B94" s="19" t="str">
        <f aca="false">IF($A94="Seçildi",IF('1-Ders Havuzu'!C94="","",'1-Ders Havuzu'!C94),"")</f>
        <v/>
      </c>
      <c r="C94" s="26" t="str">
        <f aca="false">IF($A94="Seçildi",IF('1-Ders Havuzu'!D94="","",'1-Ders Havuzu'!D94),"")</f>
        <v/>
      </c>
      <c r="D94" s="19" t="str">
        <f aca="false">IF($A94="Seçildi",IF('1-Ders Havuzu'!A94="","",'1-Ders Havuzu'!A94),"")</f>
        <v/>
      </c>
      <c r="E94" s="19" t="str">
        <f aca="false">IF($A94="Seçildi",IF('1-Ders Havuzu'!B94="","",'1-Ders Havuzu'!B94),"")</f>
        <v/>
      </c>
      <c r="F94" s="19" t="str">
        <f aca="false">IF($A94="Seçildi",IF('1-Ders Havuzu'!J94="","",'1-Ders Havuzu'!J94),"")</f>
        <v/>
      </c>
      <c r="G94" s="19" t="str">
        <f aca="false">IF($A94="Seçildi",IF('1-Ders Havuzu'!H94="","",'1-Ders Havuzu'!H94),"")</f>
        <v/>
      </c>
      <c r="H94" s="22"/>
      <c r="I94" s="19" t="str">
        <f aca="false">IFERROR(IF($H94="","",INDEX('Öğretim Elemanları'!$A$4:$A$49,MATCH($H94,'Öğretim Elemanları'!$C$4:$C$49,0))),"")</f>
        <v/>
      </c>
    </row>
    <row r="95" customFormat="false" ht="15.75" hidden="false" customHeight="true" outlineLevel="0" collapsed="false">
      <c r="A95" s="17" t="str">
        <f aca="false">'1-Ders Havuzu'!K95</f>
        <v>Seçilmedi</v>
      </c>
      <c r="B95" s="17" t="str">
        <f aca="false">IF($A95="Seçildi",IF('1-Ders Havuzu'!C95="","",'1-Ders Havuzu'!C95),"")</f>
        <v/>
      </c>
      <c r="C95" s="24" t="str">
        <f aca="false">IF($A95="Seçildi",IF('1-Ders Havuzu'!D95="","",'1-Ders Havuzu'!D95),"")</f>
        <v/>
      </c>
      <c r="D95" s="17" t="str">
        <f aca="false">IF($A95="Seçildi",IF('1-Ders Havuzu'!A95="","",'1-Ders Havuzu'!A95),"")</f>
        <v/>
      </c>
      <c r="E95" s="17" t="str">
        <f aca="false">IF($A95="Seçildi",IF('1-Ders Havuzu'!B95="","",'1-Ders Havuzu'!B95),"")</f>
        <v/>
      </c>
      <c r="F95" s="17" t="str">
        <f aca="false">IF($A95="Seçildi",IF('1-Ders Havuzu'!J95="","",'1-Ders Havuzu'!J95),"")</f>
        <v/>
      </c>
      <c r="G95" s="17" t="str">
        <f aca="false">IF($A95="Seçildi",IF('1-Ders Havuzu'!H95="","",'1-Ders Havuzu'!H95),"")</f>
        <v/>
      </c>
      <c r="H95" s="22"/>
      <c r="I95" s="17" t="str">
        <f aca="false">IFERROR(IF($H95="","",INDEX('Öğretim Elemanları'!$A$4:$A$49,MATCH($H95,'Öğretim Elemanları'!$C$4:$C$49,0))),"")</f>
        <v/>
      </c>
    </row>
    <row r="96" customFormat="false" ht="15.75" hidden="false" customHeight="true" outlineLevel="0" collapsed="false">
      <c r="A96" s="19" t="str">
        <f aca="false">'1-Ders Havuzu'!K96</f>
        <v>Seçilmedi</v>
      </c>
      <c r="B96" s="19" t="str">
        <f aca="false">IF($A96="Seçildi",IF('1-Ders Havuzu'!C96="","",'1-Ders Havuzu'!C96),"")</f>
        <v/>
      </c>
      <c r="C96" s="26" t="str">
        <f aca="false">IF($A96="Seçildi",IF('1-Ders Havuzu'!D96="","",'1-Ders Havuzu'!D96),"")</f>
        <v/>
      </c>
      <c r="D96" s="19" t="str">
        <f aca="false">IF($A96="Seçildi",IF('1-Ders Havuzu'!A96="","",'1-Ders Havuzu'!A96),"")</f>
        <v/>
      </c>
      <c r="E96" s="19" t="str">
        <f aca="false">IF($A96="Seçildi",IF('1-Ders Havuzu'!B96="","",'1-Ders Havuzu'!B96),"")</f>
        <v/>
      </c>
      <c r="F96" s="19" t="str">
        <f aca="false">IF($A96="Seçildi",IF('1-Ders Havuzu'!J96="","",'1-Ders Havuzu'!J96),"")</f>
        <v/>
      </c>
      <c r="G96" s="19" t="str">
        <f aca="false">IF($A96="Seçildi",IF('1-Ders Havuzu'!H96="","",'1-Ders Havuzu'!H96),"")</f>
        <v/>
      </c>
      <c r="H96" s="22"/>
      <c r="I96" s="19" t="str">
        <f aca="false">IFERROR(IF($H96="","",INDEX('Öğretim Elemanları'!$A$4:$A$49,MATCH($H96,'Öğretim Elemanları'!$C$4:$C$49,0))),"")</f>
        <v/>
      </c>
    </row>
    <row r="97" customFormat="false" ht="15.75" hidden="false" customHeight="true" outlineLevel="0" collapsed="false">
      <c r="A97" s="17" t="str">
        <f aca="false">'1-Ders Havuzu'!K97</f>
        <v>Seçilmedi</v>
      </c>
      <c r="B97" s="17" t="str">
        <f aca="false">IF($A97="Seçildi",IF('1-Ders Havuzu'!C97="","",'1-Ders Havuzu'!C97),"")</f>
        <v/>
      </c>
      <c r="C97" s="24" t="str">
        <f aca="false">IF($A97="Seçildi",IF('1-Ders Havuzu'!D97="","",'1-Ders Havuzu'!D97),"")</f>
        <v/>
      </c>
      <c r="D97" s="17" t="str">
        <f aca="false">IF($A97="Seçildi",IF('1-Ders Havuzu'!A97="","",'1-Ders Havuzu'!A97),"")</f>
        <v/>
      </c>
      <c r="E97" s="17" t="str">
        <f aca="false">IF($A97="Seçildi",IF('1-Ders Havuzu'!B97="","",'1-Ders Havuzu'!B97),"")</f>
        <v/>
      </c>
      <c r="F97" s="17" t="str">
        <f aca="false">IF($A97="Seçildi",IF('1-Ders Havuzu'!J97="","",'1-Ders Havuzu'!J97),"")</f>
        <v/>
      </c>
      <c r="G97" s="17" t="str">
        <f aca="false">IF($A97="Seçildi",IF('1-Ders Havuzu'!H97="","",'1-Ders Havuzu'!H97),"")</f>
        <v/>
      </c>
      <c r="H97" s="22"/>
      <c r="I97" s="17" t="str">
        <f aca="false">IFERROR(IF($H97="","",INDEX('Öğretim Elemanları'!$A$4:$A$49,MATCH($H97,'Öğretim Elemanları'!$C$4:$C$49,0))),"")</f>
        <v/>
      </c>
    </row>
    <row r="98" customFormat="false" ht="15.75" hidden="false" customHeight="true" outlineLevel="0" collapsed="false">
      <c r="A98" s="19" t="str">
        <f aca="false">'1-Ders Havuzu'!K98</f>
        <v>Seçilmedi</v>
      </c>
      <c r="B98" s="19" t="str">
        <f aca="false">IF($A98="Seçildi",IF('1-Ders Havuzu'!C98="","",'1-Ders Havuzu'!C98),"")</f>
        <v/>
      </c>
      <c r="C98" s="26" t="str">
        <f aca="false">IF($A98="Seçildi",IF('1-Ders Havuzu'!D98="","",'1-Ders Havuzu'!D98),"")</f>
        <v/>
      </c>
      <c r="D98" s="19" t="str">
        <f aca="false">IF($A98="Seçildi",IF('1-Ders Havuzu'!A98="","",'1-Ders Havuzu'!A98),"")</f>
        <v/>
      </c>
      <c r="E98" s="19" t="str">
        <f aca="false">IF($A98="Seçildi",IF('1-Ders Havuzu'!B98="","",'1-Ders Havuzu'!B98),"")</f>
        <v/>
      </c>
      <c r="F98" s="19" t="str">
        <f aca="false">IF($A98="Seçildi",IF('1-Ders Havuzu'!J98="","",'1-Ders Havuzu'!J98),"")</f>
        <v/>
      </c>
      <c r="G98" s="19" t="str">
        <f aca="false">IF($A98="Seçildi",IF('1-Ders Havuzu'!H98="","",'1-Ders Havuzu'!H98),"")</f>
        <v/>
      </c>
      <c r="H98" s="22"/>
      <c r="I98" s="19" t="str">
        <f aca="false">IFERROR(IF($H98="","",INDEX('Öğretim Elemanları'!$A$4:$A$49,MATCH($H98,'Öğretim Elemanları'!$C$4:$C$49,0))),"")</f>
        <v/>
      </c>
    </row>
    <row r="99" customFormat="false" ht="15.75" hidden="false" customHeight="true" outlineLevel="0" collapsed="false">
      <c r="A99" s="17" t="str">
        <f aca="false">'1-Ders Havuzu'!K99</f>
        <v>Seçilmedi</v>
      </c>
      <c r="B99" s="17" t="str">
        <f aca="false">IF($A99="Seçildi",IF('1-Ders Havuzu'!C99="","",'1-Ders Havuzu'!C99),"")</f>
        <v/>
      </c>
      <c r="C99" s="24" t="str">
        <f aca="false">IF($A99="Seçildi",IF('1-Ders Havuzu'!D99="","",'1-Ders Havuzu'!D99),"")</f>
        <v/>
      </c>
      <c r="D99" s="17" t="str">
        <f aca="false">IF($A99="Seçildi",IF('1-Ders Havuzu'!A99="","",'1-Ders Havuzu'!A99),"")</f>
        <v/>
      </c>
      <c r="E99" s="17" t="str">
        <f aca="false">IF($A99="Seçildi",IF('1-Ders Havuzu'!B99="","",'1-Ders Havuzu'!B99),"")</f>
        <v/>
      </c>
      <c r="F99" s="17" t="str">
        <f aca="false">IF($A99="Seçildi",IF('1-Ders Havuzu'!J99="","",'1-Ders Havuzu'!J99),"")</f>
        <v/>
      </c>
      <c r="G99" s="17" t="str">
        <f aca="false">IF($A99="Seçildi",IF('1-Ders Havuzu'!H99="","",'1-Ders Havuzu'!H99),"")</f>
        <v/>
      </c>
      <c r="H99" s="22"/>
      <c r="I99" s="17" t="str">
        <f aca="false">IFERROR(IF($H99="","",INDEX('Öğretim Elemanları'!$A$4:$A$49,MATCH($H99,'Öğretim Elemanları'!$C$4:$C$49,0))),"")</f>
        <v/>
      </c>
    </row>
    <row r="100" customFormat="false" ht="15.75" hidden="false" customHeight="true" outlineLevel="0" collapsed="false">
      <c r="A100" s="19" t="str">
        <f aca="false">'1-Ders Havuzu'!K100</f>
        <v>Seçilmedi</v>
      </c>
      <c r="B100" s="19" t="str">
        <f aca="false">IF($A100="Seçildi",IF('1-Ders Havuzu'!C100="","",'1-Ders Havuzu'!C100),"")</f>
        <v/>
      </c>
      <c r="C100" s="26" t="str">
        <f aca="false">IF($A100="Seçildi",IF('1-Ders Havuzu'!D100="","",'1-Ders Havuzu'!D100),"")</f>
        <v/>
      </c>
      <c r="D100" s="19" t="str">
        <f aca="false">IF($A100="Seçildi",IF('1-Ders Havuzu'!A100="","",'1-Ders Havuzu'!A100),"")</f>
        <v/>
      </c>
      <c r="E100" s="19" t="str">
        <f aca="false">IF($A100="Seçildi",IF('1-Ders Havuzu'!B100="","",'1-Ders Havuzu'!B100),"")</f>
        <v/>
      </c>
      <c r="F100" s="19" t="str">
        <f aca="false">IF($A100="Seçildi",IF('1-Ders Havuzu'!J100="","",'1-Ders Havuzu'!J100),"")</f>
        <v/>
      </c>
      <c r="G100" s="19" t="str">
        <f aca="false">IF($A100="Seçildi",IF('1-Ders Havuzu'!H100="","",'1-Ders Havuzu'!H100),"")</f>
        <v/>
      </c>
      <c r="H100" s="22"/>
      <c r="I100" s="19" t="str">
        <f aca="false">IFERROR(IF($H100="","",INDEX('Öğretim Elemanları'!$A$4:$A$49,MATCH($H100,'Öğretim Elemanları'!$C$4:$C$49,0))),"")</f>
        <v/>
      </c>
    </row>
    <row r="101" customFormat="false" ht="15.75" hidden="false" customHeight="true" outlineLevel="0" collapsed="false">
      <c r="A101" s="17" t="str">
        <f aca="false">'1-Ders Havuzu'!K101</f>
        <v>Seçilmedi</v>
      </c>
      <c r="B101" s="17" t="str">
        <f aca="false">IF($A101="Seçildi",IF('1-Ders Havuzu'!C101="","",'1-Ders Havuzu'!C101),"")</f>
        <v/>
      </c>
      <c r="C101" s="24" t="str">
        <f aca="false">IF($A101="Seçildi",IF('1-Ders Havuzu'!D101="","",'1-Ders Havuzu'!D101),"")</f>
        <v/>
      </c>
      <c r="D101" s="17" t="str">
        <f aca="false">IF($A101="Seçildi",IF('1-Ders Havuzu'!A101="","",'1-Ders Havuzu'!A101),"")</f>
        <v/>
      </c>
      <c r="E101" s="17" t="str">
        <f aca="false">IF($A101="Seçildi",IF('1-Ders Havuzu'!B101="","",'1-Ders Havuzu'!B101),"")</f>
        <v/>
      </c>
      <c r="F101" s="17" t="str">
        <f aca="false">IF($A101="Seçildi",IF('1-Ders Havuzu'!J101="","",'1-Ders Havuzu'!J101),"")</f>
        <v/>
      </c>
      <c r="G101" s="17" t="str">
        <f aca="false">IF($A101="Seçildi",IF('1-Ders Havuzu'!H101="","",'1-Ders Havuzu'!H101),"")</f>
        <v/>
      </c>
      <c r="H101" s="22"/>
      <c r="I101" s="17" t="str">
        <f aca="false">IFERROR(IF($H101="","",INDEX('Öğretim Elemanları'!$A$4:$A$49,MATCH($H101,'Öğretim Elemanları'!$C$4:$C$49,0))),"")</f>
        <v/>
      </c>
    </row>
    <row r="102" customFormat="false" ht="15.75" hidden="false" customHeight="true" outlineLevel="0" collapsed="false">
      <c r="A102" s="19" t="str">
        <f aca="false">'1-Ders Havuzu'!K102</f>
        <v>Seçilmedi</v>
      </c>
      <c r="B102" s="19" t="str">
        <f aca="false">IF($A102="Seçildi",IF('1-Ders Havuzu'!C102="","",'1-Ders Havuzu'!C102),"")</f>
        <v/>
      </c>
      <c r="C102" s="26" t="str">
        <f aca="false">IF($A102="Seçildi",IF('1-Ders Havuzu'!D102="","",'1-Ders Havuzu'!D102),"")</f>
        <v/>
      </c>
      <c r="D102" s="19" t="str">
        <f aca="false">IF($A102="Seçildi",IF('1-Ders Havuzu'!A102="","",'1-Ders Havuzu'!A102),"")</f>
        <v/>
      </c>
      <c r="E102" s="19" t="str">
        <f aca="false">IF($A102="Seçildi",IF('1-Ders Havuzu'!B102="","",'1-Ders Havuzu'!B102),"")</f>
        <v/>
      </c>
      <c r="F102" s="19" t="str">
        <f aca="false">IF($A102="Seçildi",IF('1-Ders Havuzu'!J102="","",'1-Ders Havuzu'!J102),"")</f>
        <v/>
      </c>
      <c r="G102" s="19" t="str">
        <f aca="false">IF($A102="Seçildi",IF('1-Ders Havuzu'!H102="","",'1-Ders Havuzu'!H102),"")</f>
        <v/>
      </c>
      <c r="H102" s="22"/>
      <c r="I102" s="19" t="str">
        <f aca="false">IFERROR(IF($H102="","",INDEX('Öğretim Elemanları'!$A$4:$A$49,MATCH($H102,'Öğretim Elemanları'!$C$4:$C$49,0))),"")</f>
        <v/>
      </c>
    </row>
    <row r="103" customFormat="false" ht="15.75" hidden="false" customHeight="true" outlineLevel="0" collapsed="false">
      <c r="A103" s="17" t="str">
        <f aca="false">'1-Ders Havuzu'!K103</f>
        <v>Seçilmedi</v>
      </c>
      <c r="B103" s="17" t="str">
        <f aca="false">IF($A103="Seçildi",IF('1-Ders Havuzu'!C103="","",'1-Ders Havuzu'!C103),"")</f>
        <v/>
      </c>
      <c r="C103" s="24" t="str">
        <f aca="false">IF($A103="Seçildi",IF('1-Ders Havuzu'!D103="","",'1-Ders Havuzu'!D103),"")</f>
        <v/>
      </c>
      <c r="D103" s="17" t="str">
        <f aca="false">IF($A103="Seçildi",IF('1-Ders Havuzu'!A103="","",'1-Ders Havuzu'!A103),"")</f>
        <v/>
      </c>
      <c r="E103" s="17" t="str">
        <f aca="false">IF($A103="Seçildi",IF('1-Ders Havuzu'!B103="","",'1-Ders Havuzu'!B103),"")</f>
        <v/>
      </c>
      <c r="F103" s="17" t="str">
        <f aca="false">IF($A103="Seçildi",IF('1-Ders Havuzu'!J103="","",'1-Ders Havuzu'!J103),"")</f>
        <v/>
      </c>
      <c r="G103" s="17" t="str">
        <f aca="false">IF($A103="Seçildi",IF('1-Ders Havuzu'!H103="","",'1-Ders Havuzu'!H103),"")</f>
        <v/>
      </c>
      <c r="H103" s="22"/>
      <c r="I103" s="17" t="str">
        <f aca="false">IFERROR(IF($H103="","",INDEX('Öğretim Elemanları'!$A$4:$A$49,MATCH($H103,'Öğretim Elemanları'!$C$4:$C$49,0))),"")</f>
        <v/>
      </c>
    </row>
    <row r="104" customFormat="false" ht="15.75" hidden="false" customHeight="true" outlineLevel="0" collapsed="false">
      <c r="A104" s="19" t="str">
        <f aca="false">'1-Ders Havuzu'!K104</f>
        <v>Seçilmedi</v>
      </c>
      <c r="B104" s="19" t="str">
        <f aca="false">IF($A104="Seçildi",IF('1-Ders Havuzu'!C104="","",'1-Ders Havuzu'!C104),"")</f>
        <v/>
      </c>
      <c r="C104" s="26" t="str">
        <f aca="false">IF($A104="Seçildi",IF('1-Ders Havuzu'!D104="","",'1-Ders Havuzu'!D104),"")</f>
        <v/>
      </c>
      <c r="D104" s="19" t="str">
        <f aca="false">IF($A104="Seçildi",IF('1-Ders Havuzu'!A104="","",'1-Ders Havuzu'!A104),"")</f>
        <v/>
      </c>
      <c r="E104" s="19" t="str">
        <f aca="false">IF($A104="Seçildi",IF('1-Ders Havuzu'!B104="","",'1-Ders Havuzu'!B104),"")</f>
        <v/>
      </c>
      <c r="F104" s="19" t="str">
        <f aca="false">IF($A104="Seçildi",IF('1-Ders Havuzu'!J104="","",'1-Ders Havuzu'!J104),"")</f>
        <v/>
      </c>
      <c r="G104" s="19" t="str">
        <f aca="false">IF($A104="Seçildi",IF('1-Ders Havuzu'!H104="","",'1-Ders Havuzu'!H104),"")</f>
        <v/>
      </c>
      <c r="H104" s="22"/>
      <c r="I104" s="19" t="str">
        <f aca="false">IFERROR(IF($H104="","",INDEX('Öğretim Elemanları'!$A$4:$A$49,MATCH($H104,'Öğretim Elemanları'!$C$4:$C$49,0))),"")</f>
        <v/>
      </c>
    </row>
    <row r="105" customFormat="false" ht="15.75" hidden="false" customHeight="true" outlineLevel="0" collapsed="false">
      <c r="A105" s="17" t="str">
        <f aca="false">'1-Ders Havuzu'!K105</f>
        <v>Seçilmedi</v>
      </c>
      <c r="B105" s="17" t="str">
        <f aca="false">IF($A105="Seçildi",IF('1-Ders Havuzu'!C105="","",'1-Ders Havuzu'!C105),"")</f>
        <v/>
      </c>
      <c r="C105" s="24" t="str">
        <f aca="false">IF($A105="Seçildi",IF('1-Ders Havuzu'!D105="","",'1-Ders Havuzu'!D105),"")</f>
        <v/>
      </c>
      <c r="D105" s="17" t="str">
        <f aca="false">IF($A105="Seçildi",IF('1-Ders Havuzu'!A105="","",'1-Ders Havuzu'!A105),"")</f>
        <v/>
      </c>
      <c r="E105" s="17" t="str">
        <f aca="false">IF($A105="Seçildi",IF('1-Ders Havuzu'!B105="","",'1-Ders Havuzu'!B105),"")</f>
        <v/>
      </c>
      <c r="F105" s="17" t="str">
        <f aca="false">IF($A105="Seçildi",IF('1-Ders Havuzu'!J105="","",'1-Ders Havuzu'!J105),"")</f>
        <v/>
      </c>
      <c r="G105" s="17" t="str">
        <f aca="false">IF($A105="Seçildi",IF('1-Ders Havuzu'!H105="","",'1-Ders Havuzu'!H105),"")</f>
        <v/>
      </c>
      <c r="H105" s="22"/>
      <c r="I105" s="17" t="str">
        <f aca="false">IFERROR(IF($H105="","",INDEX('Öğretim Elemanları'!$A$4:$A$49,MATCH($H105,'Öğretim Elemanları'!$C$4:$C$49,0))),"")</f>
        <v/>
      </c>
    </row>
    <row r="106" customFormat="false" ht="15.75" hidden="false" customHeight="true" outlineLevel="0" collapsed="false">
      <c r="A106" s="19" t="str">
        <f aca="false">'1-Ders Havuzu'!K106</f>
        <v>Seçilmedi</v>
      </c>
      <c r="B106" s="19" t="str">
        <f aca="false">IF($A106="Seçildi",IF('1-Ders Havuzu'!C106="","",'1-Ders Havuzu'!C106),"")</f>
        <v/>
      </c>
      <c r="C106" s="26" t="str">
        <f aca="false">IF($A106="Seçildi",IF('1-Ders Havuzu'!D106="","",'1-Ders Havuzu'!D106),"")</f>
        <v/>
      </c>
      <c r="D106" s="19" t="str">
        <f aca="false">IF($A106="Seçildi",IF('1-Ders Havuzu'!A106="","",'1-Ders Havuzu'!A106),"")</f>
        <v/>
      </c>
      <c r="E106" s="19" t="str">
        <f aca="false">IF($A106="Seçildi",IF('1-Ders Havuzu'!B106="","",'1-Ders Havuzu'!B106),"")</f>
        <v/>
      </c>
      <c r="F106" s="19" t="str">
        <f aca="false">IF($A106="Seçildi",IF('1-Ders Havuzu'!J106="","",'1-Ders Havuzu'!J106),"")</f>
        <v/>
      </c>
      <c r="G106" s="19" t="str">
        <f aca="false">IF($A106="Seçildi",IF('1-Ders Havuzu'!H106="","",'1-Ders Havuzu'!H106),"")</f>
        <v/>
      </c>
      <c r="H106" s="22"/>
      <c r="I106" s="19" t="str">
        <f aca="false">IFERROR(IF($H106="","",INDEX('Öğretim Elemanları'!$A$4:$A$49,MATCH($H106,'Öğretim Elemanları'!$C$4:$C$49,0))),"")</f>
        <v/>
      </c>
    </row>
    <row r="107" customFormat="false" ht="15.75" hidden="false" customHeight="true" outlineLevel="0" collapsed="false">
      <c r="A107" s="17" t="str">
        <f aca="false">'1-Ders Havuzu'!K107</f>
        <v>Seçilmedi</v>
      </c>
      <c r="B107" s="17" t="str">
        <f aca="false">IF($A107="Seçildi",IF('1-Ders Havuzu'!C107="","",'1-Ders Havuzu'!C107),"")</f>
        <v/>
      </c>
      <c r="C107" s="24" t="str">
        <f aca="false">IF($A107="Seçildi",IF('1-Ders Havuzu'!D107="","",'1-Ders Havuzu'!D107),"")</f>
        <v/>
      </c>
      <c r="D107" s="17" t="str">
        <f aca="false">IF($A107="Seçildi",IF('1-Ders Havuzu'!A107="","",'1-Ders Havuzu'!A107),"")</f>
        <v/>
      </c>
      <c r="E107" s="17" t="str">
        <f aca="false">IF($A107="Seçildi",IF('1-Ders Havuzu'!B107="","",'1-Ders Havuzu'!B107),"")</f>
        <v/>
      </c>
      <c r="F107" s="17" t="str">
        <f aca="false">IF($A107="Seçildi",IF('1-Ders Havuzu'!J107="","",'1-Ders Havuzu'!J107),"")</f>
        <v/>
      </c>
      <c r="G107" s="17" t="str">
        <f aca="false">IF($A107="Seçildi",IF('1-Ders Havuzu'!H107="","",'1-Ders Havuzu'!H107),"")</f>
        <v/>
      </c>
      <c r="H107" s="22"/>
      <c r="I107" s="17" t="str">
        <f aca="false">IFERROR(IF($H107="","",INDEX('Öğretim Elemanları'!$A$4:$A$49,MATCH($H107,'Öğretim Elemanları'!$C$4:$C$49,0))),"")</f>
        <v/>
      </c>
    </row>
    <row r="108" customFormat="false" ht="15.75" hidden="false" customHeight="true" outlineLevel="0" collapsed="false">
      <c r="A108" s="19" t="n">
        <f aca="false">'1-Ders Havuzu'!K108</f>
        <v>0</v>
      </c>
      <c r="B108" s="19" t="str">
        <f aca="false">IF($A108="Seçildi",IF('1-Ders Havuzu'!C108="","",'1-Ders Havuzu'!C108),"")</f>
        <v/>
      </c>
      <c r="C108" s="26" t="str">
        <f aca="false">IF($A108="Seçildi",IF('1-Ders Havuzu'!D108="","",'1-Ders Havuzu'!D108),"")</f>
        <v/>
      </c>
      <c r="D108" s="19" t="str">
        <f aca="false">IF($A108="Seçildi",IF('1-Ders Havuzu'!A108="","",'1-Ders Havuzu'!A108),"")</f>
        <v/>
      </c>
      <c r="E108" s="19" t="str">
        <f aca="false">IF($A108="Seçildi",IF('1-Ders Havuzu'!B108="","",'1-Ders Havuzu'!B108),"")</f>
        <v/>
      </c>
      <c r="F108" s="19" t="str">
        <f aca="false">IF($A108="Seçildi",IF('1-Ders Havuzu'!J108="","",'1-Ders Havuzu'!J108),"")</f>
        <v/>
      </c>
      <c r="G108" s="19" t="str">
        <f aca="false">IF($A108="Seçildi",IF('1-Ders Havuzu'!H108="","",'1-Ders Havuzu'!H108),"")</f>
        <v/>
      </c>
      <c r="H108" s="22"/>
      <c r="I108" s="19" t="str">
        <f aca="false">IFERROR(IF($H108="","",INDEX('Öğretim Elemanları'!$A$4:$A$49,MATCH($H108,'Öğretim Elemanları'!$C$4:$C$49,0))),"")</f>
        <v/>
      </c>
    </row>
    <row r="109" customFormat="false" ht="15.75" hidden="false" customHeight="true" outlineLevel="0" collapsed="false">
      <c r="A109" s="17" t="n">
        <f aca="false">'1-Ders Havuzu'!K109</f>
        <v>0</v>
      </c>
      <c r="B109" s="17" t="str">
        <f aca="false">IF($A109="Seçildi",IF('1-Ders Havuzu'!C109="","",'1-Ders Havuzu'!C109),"")</f>
        <v/>
      </c>
      <c r="C109" s="24" t="str">
        <f aca="false">IF($A109="Seçildi",IF('1-Ders Havuzu'!D109="","",'1-Ders Havuzu'!D109),"")</f>
        <v/>
      </c>
      <c r="D109" s="17" t="str">
        <f aca="false">IF($A109="Seçildi",IF('1-Ders Havuzu'!A109="","",'1-Ders Havuzu'!A109),"")</f>
        <v/>
      </c>
      <c r="E109" s="17" t="str">
        <f aca="false">IF($A109="Seçildi",IF('1-Ders Havuzu'!B109="","",'1-Ders Havuzu'!B109),"")</f>
        <v/>
      </c>
      <c r="F109" s="17" t="str">
        <f aca="false">IF($A109="Seçildi",IF('1-Ders Havuzu'!J109="","",'1-Ders Havuzu'!J109),"")</f>
        <v/>
      </c>
      <c r="G109" s="17" t="str">
        <f aca="false">IF($A109="Seçildi",IF('1-Ders Havuzu'!H109="","",'1-Ders Havuzu'!H109),"")</f>
        <v/>
      </c>
      <c r="H109" s="22"/>
      <c r="I109" s="17" t="str">
        <f aca="false">IFERROR(IF($H109="","",INDEX('Öğretim Elemanları'!$A$4:$A$49,MATCH($H109,'Öğretim Elemanları'!$C$4:$C$49,0))),"")</f>
        <v/>
      </c>
    </row>
    <row r="110" customFormat="false" ht="15.75" hidden="false" customHeight="true" outlineLevel="0" collapsed="false">
      <c r="A110" s="19" t="n">
        <f aca="false">'1-Ders Havuzu'!K110</f>
        <v>0</v>
      </c>
      <c r="B110" s="19" t="str">
        <f aca="false">IF($A110="Seçildi",IF('1-Ders Havuzu'!C110="","",'1-Ders Havuzu'!C110),"")</f>
        <v/>
      </c>
      <c r="C110" s="26" t="str">
        <f aca="false">IF($A110="Seçildi",IF('1-Ders Havuzu'!D110="","",'1-Ders Havuzu'!D110),"")</f>
        <v/>
      </c>
      <c r="D110" s="19" t="str">
        <f aca="false">IF($A110="Seçildi",IF('1-Ders Havuzu'!A110="","",'1-Ders Havuzu'!A110),"")</f>
        <v/>
      </c>
      <c r="E110" s="19" t="str">
        <f aca="false">IF($A110="Seçildi",IF('1-Ders Havuzu'!B110="","",'1-Ders Havuzu'!B110),"")</f>
        <v/>
      </c>
      <c r="F110" s="19" t="str">
        <f aca="false">IF($A110="Seçildi",IF('1-Ders Havuzu'!J110="","",'1-Ders Havuzu'!J110),"")</f>
        <v/>
      </c>
      <c r="G110" s="19" t="str">
        <f aca="false">IF($A110="Seçildi",IF('1-Ders Havuzu'!H110="","",'1-Ders Havuzu'!H110),"")</f>
        <v/>
      </c>
      <c r="H110" s="22"/>
      <c r="I110" s="19" t="str">
        <f aca="false">IFERROR(IF($H110="","",INDEX('Öğretim Elemanları'!$A$4:$A$49,MATCH($H110,'Öğretim Elemanları'!$C$4:$C$49,0))),"")</f>
        <v/>
      </c>
    </row>
    <row r="111" customFormat="false" ht="15.75" hidden="false" customHeight="true" outlineLevel="0" collapsed="false">
      <c r="A111" s="17" t="n">
        <f aca="false">'1-Ders Havuzu'!K111</f>
        <v>0</v>
      </c>
      <c r="B111" s="17" t="str">
        <f aca="false">IF($A111="Seçildi",IF('1-Ders Havuzu'!C111="","",'1-Ders Havuzu'!C111),"")</f>
        <v/>
      </c>
      <c r="C111" s="24" t="str">
        <f aca="false">IF($A111="Seçildi",IF('1-Ders Havuzu'!D111="","",'1-Ders Havuzu'!D111),"")</f>
        <v/>
      </c>
      <c r="D111" s="17" t="str">
        <f aca="false">IF($A111="Seçildi",IF('1-Ders Havuzu'!A111="","",'1-Ders Havuzu'!A111),"")</f>
        <v/>
      </c>
      <c r="E111" s="17" t="str">
        <f aca="false">IF($A111="Seçildi",IF('1-Ders Havuzu'!B111="","",'1-Ders Havuzu'!B111),"")</f>
        <v/>
      </c>
      <c r="F111" s="17" t="str">
        <f aca="false">IF($A111="Seçildi",IF('1-Ders Havuzu'!J111="","",'1-Ders Havuzu'!J111),"")</f>
        <v/>
      </c>
      <c r="G111" s="17" t="str">
        <f aca="false">IF($A111="Seçildi",IF('1-Ders Havuzu'!H111="","",'1-Ders Havuzu'!H111),"")</f>
        <v/>
      </c>
      <c r="H111" s="22"/>
      <c r="I111" s="17" t="str">
        <f aca="false">IFERROR(IF($H111="","",INDEX('Öğretim Elemanları'!$A$4:$A$49,MATCH($H111,'Öğretim Elemanları'!$C$4:$C$49,0))),"")</f>
        <v/>
      </c>
    </row>
    <row r="112" customFormat="false" ht="15.75" hidden="false" customHeight="true" outlineLevel="0" collapsed="false">
      <c r="A112" s="19" t="n">
        <f aca="false">'1-Ders Havuzu'!K112</f>
        <v>0</v>
      </c>
      <c r="B112" s="19" t="str">
        <f aca="false">IF($A112="Seçildi",IF('1-Ders Havuzu'!C112="","",'1-Ders Havuzu'!C112),"")</f>
        <v/>
      </c>
      <c r="C112" s="26" t="str">
        <f aca="false">IF($A112="Seçildi",IF('1-Ders Havuzu'!D112="","",'1-Ders Havuzu'!D112),"")</f>
        <v/>
      </c>
      <c r="D112" s="19" t="str">
        <f aca="false">IF($A112="Seçildi",IF('1-Ders Havuzu'!A112="","",'1-Ders Havuzu'!A112),"")</f>
        <v/>
      </c>
      <c r="E112" s="19" t="str">
        <f aca="false">IF($A112="Seçildi",IF('1-Ders Havuzu'!B112="","",'1-Ders Havuzu'!B112),"")</f>
        <v/>
      </c>
      <c r="F112" s="19" t="str">
        <f aca="false">IF($A112="Seçildi",IF('1-Ders Havuzu'!J112="","",'1-Ders Havuzu'!J112),"")</f>
        <v/>
      </c>
      <c r="G112" s="19" t="str">
        <f aca="false">IF($A112="Seçildi",IF('1-Ders Havuzu'!H112="","",'1-Ders Havuzu'!H112),"")</f>
        <v/>
      </c>
      <c r="H112" s="22"/>
      <c r="I112" s="19" t="str">
        <f aca="false">IFERROR(IF($H112="","",INDEX('Öğretim Elemanları'!$A$4:$A$49,MATCH($H112,'Öğretim Elemanları'!$C$4:$C$49,0))),"")</f>
        <v/>
      </c>
    </row>
    <row r="113" customFormat="false" ht="15.75" hidden="false" customHeight="true" outlineLevel="0" collapsed="false">
      <c r="A113" s="17" t="n">
        <f aca="false">'1-Ders Havuzu'!K113</f>
        <v>0</v>
      </c>
      <c r="B113" s="17" t="str">
        <f aca="false">IF($A113="Seçildi",IF('1-Ders Havuzu'!C113="","",'1-Ders Havuzu'!C113),"")</f>
        <v/>
      </c>
      <c r="C113" s="24" t="str">
        <f aca="false">IF($A113="Seçildi",IF('1-Ders Havuzu'!D113="","",'1-Ders Havuzu'!D113),"")</f>
        <v/>
      </c>
      <c r="D113" s="17" t="str">
        <f aca="false">IF($A113="Seçildi",IF('1-Ders Havuzu'!A113="","",'1-Ders Havuzu'!A113),"")</f>
        <v/>
      </c>
      <c r="E113" s="17" t="str">
        <f aca="false">IF($A113="Seçildi",IF('1-Ders Havuzu'!B113="","",'1-Ders Havuzu'!B113),"")</f>
        <v/>
      </c>
      <c r="F113" s="17" t="str">
        <f aca="false">IF($A113="Seçildi",IF('1-Ders Havuzu'!J113="","",'1-Ders Havuzu'!J113),"")</f>
        <v/>
      </c>
      <c r="G113" s="17" t="str">
        <f aca="false">IF($A113="Seçildi",IF('1-Ders Havuzu'!H113="","",'1-Ders Havuzu'!H113),"")</f>
        <v/>
      </c>
      <c r="H113" s="22"/>
      <c r="I113" s="17" t="str">
        <f aca="false">IFERROR(IF($H113="","",INDEX('Öğretim Elemanları'!$A$4:$A$49,MATCH($H113,'Öğretim Elemanları'!$C$4:$C$49,0))),"")</f>
        <v/>
      </c>
    </row>
    <row r="114" customFormat="false" ht="15.75" hidden="false" customHeight="true" outlineLevel="0" collapsed="false">
      <c r="A114" s="19" t="n">
        <f aca="false">'1-Ders Havuzu'!K114</f>
        <v>0</v>
      </c>
      <c r="B114" s="19" t="str">
        <f aca="false">IF($A114="Seçildi",IF('1-Ders Havuzu'!C114="","",'1-Ders Havuzu'!C114),"")</f>
        <v/>
      </c>
      <c r="C114" s="26" t="str">
        <f aca="false">IF($A114="Seçildi",IF('1-Ders Havuzu'!D114="","",'1-Ders Havuzu'!D114),"")</f>
        <v/>
      </c>
      <c r="D114" s="19" t="str">
        <f aca="false">IF($A114="Seçildi",IF('1-Ders Havuzu'!A114="","",'1-Ders Havuzu'!A114),"")</f>
        <v/>
      </c>
      <c r="E114" s="19" t="str">
        <f aca="false">IF($A114="Seçildi",IF('1-Ders Havuzu'!B114="","",'1-Ders Havuzu'!B114),"")</f>
        <v/>
      </c>
      <c r="F114" s="19" t="str">
        <f aca="false">IF($A114="Seçildi",IF('1-Ders Havuzu'!J114="","",'1-Ders Havuzu'!J114),"")</f>
        <v/>
      </c>
      <c r="G114" s="19" t="str">
        <f aca="false">IF($A114="Seçildi",IF('1-Ders Havuzu'!H114="","",'1-Ders Havuzu'!H114),"")</f>
        <v/>
      </c>
      <c r="H114" s="22"/>
      <c r="I114" s="19" t="str">
        <f aca="false">IFERROR(IF($H114="","",INDEX('Öğretim Elemanları'!$A$4:$A$49,MATCH($H114,'Öğretim Elemanları'!$C$4:$C$49,0))),"")</f>
        <v/>
      </c>
    </row>
    <row r="115" customFormat="false" ht="15.75" hidden="false" customHeight="true" outlineLevel="0" collapsed="false">
      <c r="A115" s="17" t="n">
        <f aca="false">'1-Ders Havuzu'!K115</f>
        <v>0</v>
      </c>
      <c r="B115" s="17" t="str">
        <f aca="false">IF($A115="Seçildi",IF('1-Ders Havuzu'!C115="","",'1-Ders Havuzu'!C115),"")</f>
        <v/>
      </c>
      <c r="C115" s="24" t="str">
        <f aca="false">IF($A115="Seçildi",IF('1-Ders Havuzu'!D115="","",'1-Ders Havuzu'!D115),"")</f>
        <v/>
      </c>
      <c r="D115" s="17" t="str">
        <f aca="false">IF($A115="Seçildi",IF('1-Ders Havuzu'!A115="","",'1-Ders Havuzu'!A115),"")</f>
        <v/>
      </c>
      <c r="E115" s="17" t="str">
        <f aca="false">IF($A115="Seçildi",IF('1-Ders Havuzu'!B115="","",'1-Ders Havuzu'!B115),"")</f>
        <v/>
      </c>
      <c r="F115" s="17" t="str">
        <f aca="false">IF($A115="Seçildi",IF('1-Ders Havuzu'!J115="","",'1-Ders Havuzu'!J115),"")</f>
        <v/>
      </c>
      <c r="G115" s="17" t="str">
        <f aca="false">IF($A115="Seçildi",IF('1-Ders Havuzu'!H115="","",'1-Ders Havuzu'!H115),"")</f>
        <v/>
      </c>
      <c r="H115" s="22"/>
      <c r="I115" s="17" t="str">
        <f aca="false">IFERROR(IF($H115="","",INDEX('Öğretim Elemanları'!$A$4:$A$49,MATCH($H115,'Öğretim Elemanları'!$C$4:$C$49,0))),"")</f>
        <v/>
      </c>
    </row>
    <row r="116" customFormat="false" ht="15.75" hidden="false" customHeight="true" outlineLevel="0" collapsed="false">
      <c r="A116" s="19" t="n">
        <f aca="false">'1-Ders Havuzu'!K116</f>
        <v>0</v>
      </c>
      <c r="B116" s="19" t="str">
        <f aca="false">IF($A116="Seçildi",IF('1-Ders Havuzu'!C116="","",'1-Ders Havuzu'!C116),"")</f>
        <v/>
      </c>
      <c r="C116" s="26" t="str">
        <f aca="false">IF($A116="Seçildi",IF('1-Ders Havuzu'!D116="","",'1-Ders Havuzu'!D116),"")</f>
        <v/>
      </c>
      <c r="D116" s="19" t="str">
        <f aca="false">IF($A116="Seçildi",IF('1-Ders Havuzu'!A116="","",'1-Ders Havuzu'!A116),"")</f>
        <v/>
      </c>
      <c r="E116" s="19" t="str">
        <f aca="false">IF($A116="Seçildi",IF('1-Ders Havuzu'!B116="","",'1-Ders Havuzu'!B116),"")</f>
        <v/>
      </c>
      <c r="F116" s="19" t="str">
        <f aca="false">IF($A116="Seçildi",IF('1-Ders Havuzu'!J116="","",'1-Ders Havuzu'!J116),"")</f>
        <v/>
      </c>
      <c r="G116" s="19" t="str">
        <f aca="false">IF($A116="Seçildi",IF('1-Ders Havuzu'!H116="","",'1-Ders Havuzu'!H116),"")</f>
        <v/>
      </c>
      <c r="H116" s="22"/>
      <c r="I116" s="19" t="str">
        <f aca="false">IFERROR(IF($H116="","",INDEX('Öğretim Elemanları'!$A$4:$A$49,MATCH($H116,'Öğretim Elemanları'!$C$4:$C$49,0))),"")</f>
        <v/>
      </c>
    </row>
    <row r="117" customFormat="false" ht="15.75" hidden="false" customHeight="true" outlineLevel="0" collapsed="false">
      <c r="A117" s="17" t="n">
        <f aca="false">'1-Ders Havuzu'!K117</f>
        <v>0</v>
      </c>
      <c r="B117" s="17" t="str">
        <f aca="false">IF($A117="Seçildi",IF('1-Ders Havuzu'!C117="","",'1-Ders Havuzu'!C117),"")</f>
        <v/>
      </c>
      <c r="C117" s="24" t="str">
        <f aca="false">IF($A117="Seçildi",IF('1-Ders Havuzu'!D117="","",'1-Ders Havuzu'!D117),"")</f>
        <v/>
      </c>
      <c r="D117" s="17" t="str">
        <f aca="false">IF($A117="Seçildi",IF('1-Ders Havuzu'!A117="","",'1-Ders Havuzu'!A117),"")</f>
        <v/>
      </c>
      <c r="E117" s="17" t="str">
        <f aca="false">IF($A117="Seçildi",IF('1-Ders Havuzu'!B117="","",'1-Ders Havuzu'!B117),"")</f>
        <v/>
      </c>
      <c r="F117" s="17" t="str">
        <f aca="false">IF($A117="Seçildi",IF('1-Ders Havuzu'!J117="","",'1-Ders Havuzu'!J117),"")</f>
        <v/>
      </c>
      <c r="G117" s="17" t="str">
        <f aca="false">IF($A117="Seçildi",IF('1-Ders Havuzu'!H117="","",'1-Ders Havuzu'!H117),"")</f>
        <v/>
      </c>
      <c r="H117" s="22"/>
      <c r="I117" s="17" t="str">
        <f aca="false">IFERROR(IF($H117="","",INDEX('Öğretim Elemanları'!$A$4:$A$49,MATCH($H117,'Öğretim Elemanları'!$C$4:$C$49,0))),"")</f>
        <v/>
      </c>
    </row>
    <row r="118" customFormat="false" ht="15.75" hidden="false" customHeight="true" outlineLevel="0" collapsed="false">
      <c r="A118" s="19" t="n">
        <f aca="false">'1-Ders Havuzu'!K118</f>
        <v>0</v>
      </c>
      <c r="B118" s="19" t="str">
        <f aca="false">IF($A118="Seçildi",IF('1-Ders Havuzu'!C118="","",'1-Ders Havuzu'!C118),"")</f>
        <v/>
      </c>
      <c r="C118" s="26" t="str">
        <f aca="false">IF($A118="Seçildi",IF('1-Ders Havuzu'!D118="","",'1-Ders Havuzu'!D118),"")</f>
        <v/>
      </c>
      <c r="D118" s="19" t="str">
        <f aca="false">IF($A118="Seçildi",IF('1-Ders Havuzu'!A118="","",'1-Ders Havuzu'!A118),"")</f>
        <v/>
      </c>
      <c r="E118" s="19" t="str">
        <f aca="false">IF($A118="Seçildi",IF('1-Ders Havuzu'!B118="","",'1-Ders Havuzu'!B118),"")</f>
        <v/>
      </c>
      <c r="F118" s="19" t="str">
        <f aca="false">IF($A118="Seçildi",IF('1-Ders Havuzu'!J118="","",'1-Ders Havuzu'!J118),"")</f>
        <v/>
      </c>
      <c r="G118" s="19" t="str">
        <f aca="false">IF($A118="Seçildi",IF('1-Ders Havuzu'!H118="","",'1-Ders Havuzu'!H118),"")</f>
        <v/>
      </c>
      <c r="H118" s="22"/>
      <c r="I118" s="19" t="str">
        <f aca="false">IFERROR(IF($H118="","",INDEX('Öğretim Elemanları'!$A$4:$A$49,MATCH($H118,'Öğretim Elemanları'!$C$4:$C$49,0))),"")</f>
        <v/>
      </c>
    </row>
    <row r="119" customFormat="false" ht="15.75" hidden="false" customHeight="true" outlineLevel="0" collapsed="false">
      <c r="A119" s="17" t="n">
        <f aca="false">'1-Ders Havuzu'!K119</f>
        <v>0</v>
      </c>
      <c r="B119" s="17" t="str">
        <f aca="false">IF($A119="Seçildi",IF('1-Ders Havuzu'!C119="","",'1-Ders Havuzu'!C119),"")</f>
        <v/>
      </c>
      <c r="C119" s="24" t="str">
        <f aca="false">IF($A119="Seçildi",IF('1-Ders Havuzu'!D119="","",'1-Ders Havuzu'!D119),"")</f>
        <v/>
      </c>
      <c r="D119" s="17" t="str">
        <f aca="false">IF($A119="Seçildi",IF('1-Ders Havuzu'!A119="","",'1-Ders Havuzu'!A119),"")</f>
        <v/>
      </c>
      <c r="E119" s="17" t="str">
        <f aca="false">IF($A119="Seçildi",IF('1-Ders Havuzu'!B119="","",'1-Ders Havuzu'!B119),"")</f>
        <v/>
      </c>
      <c r="F119" s="17" t="str">
        <f aca="false">IF($A119="Seçildi",IF('1-Ders Havuzu'!J119="","",'1-Ders Havuzu'!J119),"")</f>
        <v/>
      </c>
      <c r="G119" s="17" t="str">
        <f aca="false">IF($A119="Seçildi",IF('1-Ders Havuzu'!H119="","",'1-Ders Havuzu'!H119),"")</f>
        <v/>
      </c>
      <c r="H119" s="22"/>
      <c r="I119" s="17" t="str">
        <f aca="false">IFERROR(IF($H119="","",INDEX('Öğretim Elemanları'!$A$4:$A$49,MATCH($H119,'Öğretim Elemanları'!$C$4:$C$49,0))),"")</f>
        <v/>
      </c>
    </row>
    <row r="120" customFormat="false" ht="15.75" hidden="false" customHeight="true" outlineLevel="0" collapsed="false">
      <c r="A120" s="19" t="n">
        <f aca="false">'1-Ders Havuzu'!K120</f>
        <v>0</v>
      </c>
      <c r="B120" s="19" t="str">
        <f aca="false">IF($A120="Seçildi",IF('1-Ders Havuzu'!C120="","",'1-Ders Havuzu'!C120),"")</f>
        <v/>
      </c>
      <c r="C120" s="26" t="str">
        <f aca="false">IF($A120="Seçildi",IF('1-Ders Havuzu'!D120="","",'1-Ders Havuzu'!D120),"")</f>
        <v/>
      </c>
      <c r="D120" s="19" t="str">
        <f aca="false">IF($A120="Seçildi",IF('1-Ders Havuzu'!A120="","",'1-Ders Havuzu'!A120),"")</f>
        <v/>
      </c>
      <c r="E120" s="19" t="str">
        <f aca="false">IF($A120="Seçildi",IF('1-Ders Havuzu'!B120="","",'1-Ders Havuzu'!B120),"")</f>
        <v/>
      </c>
      <c r="F120" s="19" t="str">
        <f aca="false">IF($A120="Seçildi",IF('1-Ders Havuzu'!J120="","",'1-Ders Havuzu'!J120),"")</f>
        <v/>
      </c>
      <c r="G120" s="19" t="str">
        <f aca="false">IF($A120="Seçildi",IF('1-Ders Havuzu'!H120="","",'1-Ders Havuzu'!H120),"")</f>
        <v/>
      </c>
      <c r="H120" s="22"/>
      <c r="I120" s="19" t="str">
        <f aca="false">IFERROR(IF($H120="","",INDEX('Öğretim Elemanları'!$A$4:$A$49,MATCH($H120,'Öğretim Elemanları'!$C$4:$C$49,0))),"")</f>
        <v/>
      </c>
    </row>
    <row r="121" customFormat="false" ht="15.75" hidden="false" customHeight="true" outlineLevel="0" collapsed="false">
      <c r="A121" s="17" t="n">
        <f aca="false">'1-Ders Havuzu'!K121</f>
        <v>0</v>
      </c>
      <c r="B121" s="17" t="str">
        <f aca="false">IF($A121="Seçildi",IF('1-Ders Havuzu'!C121="","",'1-Ders Havuzu'!C121),"")</f>
        <v/>
      </c>
      <c r="C121" s="24" t="str">
        <f aca="false">IF($A121="Seçildi",IF('1-Ders Havuzu'!D121="","",'1-Ders Havuzu'!D121),"")</f>
        <v/>
      </c>
      <c r="D121" s="17" t="str">
        <f aca="false">IF($A121="Seçildi",IF('1-Ders Havuzu'!A121="","",'1-Ders Havuzu'!A121),"")</f>
        <v/>
      </c>
      <c r="E121" s="17" t="str">
        <f aca="false">IF($A121="Seçildi",IF('1-Ders Havuzu'!B121="","",'1-Ders Havuzu'!B121),"")</f>
        <v/>
      </c>
      <c r="F121" s="17" t="str">
        <f aca="false">IF($A121="Seçildi",IF('1-Ders Havuzu'!J121="","",'1-Ders Havuzu'!J121),"")</f>
        <v/>
      </c>
      <c r="G121" s="17" t="str">
        <f aca="false">IF($A121="Seçildi",IF('1-Ders Havuzu'!H121="","",'1-Ders Havuzu'!H121),"")</f>
        <v/>
      </c>
      <c r="H121" s="22"/>
      <c r="I121" s="17" t="str">
        <f aca="false">IFERROR(IF($H121="","",INDEX('Öğretim Elemanları'!$A$4:$A$49,MATCH($H121,'Öğretim Elemanları'!$C$4:$C$49,0))),"")</f>
        <v/>
      </c>
    </row>
    <row r="122" customFormat="false" ht="15.75" hidden="false" customHeight="true" outlineLevel="0" collapsed="false">
      <c r="A122" s="19" t="n">
        <f aca="false">'1-Ders Havuzu'!K122</f>
        <v>0</v>
      </c>
      <c r="B122" s="19" t="str">
        <f aca="false">IF($A122="Seçildi",IF('1-Ders Havuzu'!C122="","",'1-Ders Havuzu'!C122),"")</f>
        <v/>
      </c>
      <c r="C122" s="26" t="str">
        <f aca="false">IF($A122="Seçildi",IF('1-Ders Havuzu'!D122="","",'1-Ders Havuzu'!D122),"")</f>
        <v/>
      </c>
      <c r="D122" s="19" t="str">
        <f aca="false">IF($A122="Seçildi",IF('1-Ders Havuzu'!A122="","",'1-Ders Havuzu'!A122),"")</f>
        <v/>
      </c>
      <c r="E122" s="19" t="str">
        <f aca="false">IF($A122="Seçildi",IF('1-Ders Havuzu'!B122="","",'1-Ders Havuzu'!B122),"")</f>
        <v/>
      </c>
      <c r="F122" s="19" t="str">
        <f aca="false">IF($A122="Seçildi",IF('1-Ders Havuzu'!J122="","",'1-Ders Havuzu'!J122),"")</f>
        <v/>
      </c>
      <c r="G122" s="19" t="str">
        <f aca="false">IF($A122="Seçildi",IF('1-Ders Havuzu'!H122="","",'1-Ders Havuzu'!H122),"")</f>
        <v/>
      </c>
      <c r="H122" s="22"/>
      <c r="I122" s="19" t="str">
        <f aca="false">IFERROR(IF($H122="","",INDEX('Öğretim Elemanları'!$A$4:$A$49,MATCH($H122,'Öğretim Elemanları'!$C$4:$C$49,0))),"")</f>
        <v/>
      </c>
    </row>
    <row r="123" customFormat="false" ht="15.75" hidden="false" customHeight="true" outlineLevel="0" collapsed="false">
      <c r="A123" s="17" t="n">
        <f aca="false">'1-Ders Havuzu'!K123</f>
        <v>0</v>
      </c>
      <c r="B123" s="17" t="str">
        <f aca="false">IF($A123="Seçildi",IF('1-Ders Havuzu'!C123="","",'1-Ders Havuzu'!C123),"")</f>
        <v/>
      </c>
      <c r="C123" s="24" t="str">
        <f aca="false">IF($A123="Seçildi",IF('1-Ders Havuzu'!D123="","",'1-Ders Havuzu'!D123),"")</f>
        <v/>
      </c>
      <c r="D123" s="17" t="str">
        <f aca="false">IF($A123="Seçildi",IF('1-Ders Havuzu'!A123="","",'1-Ders Havuzu'!A123),"")</f>
        <v/>
      </c>
      <c r="E123" s="17" t="str">
        <f aca="false">IF($A123="Seçildi",IF('1-Ders Havuzu'!B123="","",'1-Ders Havuzu'!B123),"")</f>
        <v/>
      </c>
      <c r="F123" s="17" t="str">
        <f aca="false">IF($A123="Seçildi",IF('1-Ders Havuzu'!J123="","",'1-Ders Havuzu'!J123),"")</f>
        <v/>
      </c>
      <c r="G123" s="17" t="str">
        <f aca="false">IF($A123="Seçildi",IF('1-Ders Havuzu'!H123="","",'1-Ders Havuzu'!H123),"")</f>
        <v/>
      </c>
      <c r="H123" s="22"/>
      <c r="I123" s="17" t="str">
        <f aca="false">IFERROR(IF($H123="","",INDEX('Öğretim Elemanları'!$A$4:$A$49,MATCH($H123,'Öğretim Elemanları'!$C$4:$C$49,0))),"")</f>
        <v/>
      </c>
    </row>
    <row r="124" customFormat="false" ht="15.75" hidden="false" customHeight="true" outlineLevel="0" collapsed="false">
      <c r="A124" s="19" t="n">
        <f aca="false">'1-Ders Havuzu'!K124</f>
        <v>0</v>
      </c>
      <c r="B124" s="19" t="str">
        <f aca="false">IF($A124="Seçildi",IF('1-Ders Havuzu'!C124="","",'1-Ders Havuzu'!C124),"")</f>
        <v/>
      </c>
      <c r="C124" s="26" t="str">
        <f aca="false">IF($A124="Seçildi",IF('1-Ders Havuzu'!D124="","",'1-Ders Havuzu'!D124),"")</f>
        <v/>
      </c>
      <c r="D124" s="19" t="str">
        <f aca="false">IF($A124="Seçildi",IF('1-Ders Havuzu'!A124="","",'1-Ders Havuzu'!A124),"")</f>
        <v/>
      </c>
      <c r="E124" s="19" t="str">
        <f aca="false">IF($A124="Seçildi",IF('1-Ders Havuzu'!B124="","",'1-Ders Havuzu'!B124),"")</f>
        <v/>
      </c>
      <c r="F124" s="19" t="str">
        <f aca="false">IF($A124="Seçildi",IF('1-Ders Havuzu'!J124="","",'1-Ders Havuzu'!J124),"")</f>
        <v/>
      </c>
      <c r="G124" s="19" t="str">
        <f aca="false">IF($A124="Seçildi",IF('1-Ders Havuzu'!H124="","",'1-Ders Havuzu'!H124),"")</f>
        <v/>
      </c>
      <c r="H124" s="22"/>
      <c r="I124" s="19" t="str">
        <f aca="false">IFERROR(IF($H124="","",INDEX('Öğretim Elemanları'!$A$4:$A$49,MATCH($H124,'Öğretim Elemanları'!$C$4:$C$49,0))),"")</f>
        <v/>
      </c>
    </row>
    <row r="125" customFormat="false" ht="15.75" hidden="false" customHeight="true" outlineLevel="0" collapsed="false">
      <c r="A125" s="17" t="n">
        <f aca="false">'1-Ders Havuzu'!K125</f>
        <v>0</v>
      </c>
      <c r="B125" s="17" t="str">
        <f aca="false">IF($A125="Seçildi",IF('1-Ders Havuzu'!C125="","",'1-Ders Havuzu'!C125),"")</f>
        <v/>
      </c>
      <c r="C125" s="24" t="str">
        <f aca="false">IF($A125="Seçildi",IF('1-Ders Havuzu'!D125="","",'1-Ders Havuzu'!D125),"")</f>
        <v/>
      </c>
      <c r="D125" s="17" t="str">
        <f aca="false">IF($A125="Seçildi",IF('1-Ders Havuzu'!A125="","",'1-Ders Havuzu'!A125),"")</f>
        <v/>
      </c>
      <c r="E125" s="17" t="str">
        <f aca="false">IF($A125="Seçildi",IF('1-Ders Havuzu'!B125="","",'1-Ders Havuzu'!B125),"")</f>
        <v/>
      </c>
      <c r="F125" s="17" t="str">
        <f aca="false">IF($A125="Seçildi",IF('1-Ders Havuzu'!J125="","",'1-Ders Havuzu'!J125),"")</f>
        <v/>
      </c>
      <c r="G125" s="17" t="str">
        <f aca="false">IF($A125="Seçildi",IF('1-Ders Havuzu'!H125="","",'1-Ders Havuzu'!H125),"")</f>
        <v/>
      </c>
      <c r="H125" s="22"/>
      <c r="I125" s="17" t="str">
        <f aca="false">IFERROR(IF($H125="","",INDEX('Öğretim Elemanları'!$A$4:$A$49,MATCH($H125,'Öğretim Elemanları'!$C$4:$C$49,0))),"")</f>
        <v/>
      </c>
    </row>
    <row r="126" customFormat="false" ht="15.75" hidden="false" customHeight="true" outlineLevel="0" collapsed="false">
      <c r="A126" s="19" t="n">
        <f aca="false">'1-Ders Havuzu'!K126</f>
        <v>0</v>
      </c>
      <c r="B126" s="19" t="str">
        <f aca="false">IF($A126="Seçildi",IF('1-Ders Havuzu'!C126="","",'1-Ders Havuzu'!C126),"")</f>
        <v/>
      </c>
      <c r="C126" s="26" t="str">
        <f aca="false">IF($A126="Seçildi",IF('1-Ders Havuzu'!D126="","",'1-Ders Havuzu'!D126),"")</f>
        <v/>
      </c>
      <c r="D126" s="19" t="str">
        <f aca="false">IF($A126="Seçildi",IF('1-Ders Havuzu'!A126="","",'1-Ders Havuzu'!A126),"")</f>
        <v/>
      </c>
      <c r="E126" s="19" t="str">
        <f aca="false">IF($A126="Seçildi",IF('1-Ders Havuzu'!B126="","",'1-Ders Havuzu'!B126),"")</f>
        <v/>
      </c>
      <c r="F126" s="19" t="str">
        <f aca="false">IF($A126="Seçildi",IF('1-Ders Havuzu'!J126="","",'1-Ders Havuzu'!J126),"")</f>
        <v/>
      </c>
      <c r="G126" s="19" t="str">
        <f aca="false">IF($A126="Seçildi",IF('1-Ders Havuzu'!H126="","",'1-Ders Havuzu'!H126),"")</f>
        <v/>
      </c>
      <c r="H126" s="22"/>
      <c r="I126" s="19" t="str">
        <f aca="false">IFERROR(IF($H126="","",INDEX('Öğretim Elemanları'!$A$4:$A$49,MATCH($H126,'Öğretim Elemanları'!$C$4:$C$49,0))),"")</f>
        <v/>
      </c>
    </row>
    <row r="127" customFormat="false" ht="15.75" hidden="false" customHeight="true" outlineLevel="0" collapsed="false">
      <c r="A127" s="17" t="n">
        <f aca="false">'1-Ders Havuzu'!K127</f>
        <v>0</v>
      </c>
      <c r="B127" s="17" t="str">
        <f aca="false">IF($A127="Seçildi",IF('1-Ders Havuzu'!C127="","",'1-Ders Havuzu'!C127),"")</f>
        <v/>
      </c>
      <c r="C127" s="24" t="str">
        <f aca="false">IF($A127="Seçildi",IF('1-Ders Havuzu'!D127="","",'1-Ders Havuzu'!D127),"")</f>
        <v/>
      </c>
      <c r="D127" s="17" t="str">
        <f aca="false">IF($A127="Seçildi",IF('1-Ders Havuzu'!A127="","",'1-Ders Havuzu'!A127),"")</f>
        <v/>
      </c>
      <c r="E127" s="17" t="str">
        <f aca="false">IF($A127="Seçildi",IF('1-Ders Havuzu'!B127="","",'1-Ders Havuzu'!B127),"")</f>
        <v/>
      </c>
      <c r="F127" s="17" t="str">
        <f aca="false">IF($A127="Seçildi",IF('1-Ders Havuzu'!J127="","",'1-Ders Havuzu'!J127),"")</f>
        <v/>
      </c>
      <c r="G127" s="17" t="str">
        <f aca="false">IF($A127="Seçildi",IF('1-Ders Havuzu'!H127="","",'1-Ders Havuzu'!H127),"")</f>
        <v/>
      </c>
      <c r="H127" s="22"/>
      <c r="I127" s="17" t="str">
        <f aca="false">IFERROR(IF($H127="","",INDEX('Öğretim Elemanları'!$A$4:$A$49,MATCH($H127,'Öğretim Elemanları'!$C$4:$C$49,0))),"")</f>
        <v/>
      </c>
    </row>
    <row r="128" customFormat="false" ht="15.75" hidden="false" customHeight="true" outlineLevel="0" collapsed="false">
      <c r="A128" s="19" t="n">
        <f aca="false">'1-Ders Havuzu'!K128</f>
        <v>0</v>
      </c>
      <c r="B128" s="19" t="str">
        <f aca="false">IF($A128="Seçildi",IF('1-Ders Havuzu'!C128="","",'1-Ders Havuzu'!C128),"")</f>
        <v/>
      </c>
      <c r="C128" s="26" t="str">
        <f aca="false">IF($A128="Seçildi",IF('1-Ders Havuzu'!D128="","",'1-Ders Havuzu'!D128),"")</f>
        <v/>
      </c>
      <c r="D128" s="19" t="str">
        <f aca="false">IF($A128="Seçildi",IF('1-Ders Havuzu'!A128="","",'1-Ders Havuzu'!A128),"")</f>
        <v/>
      </c>
      <c r="E128" s="19" t="str">
        <f aca="false">IF($A128="Seçildi",IF('1-Ders Havuzu'!B128="","",'1-Ders Havuzu'!B128),"")</f>
        <v/>
      </c>
      <c r="F128" s="19" t="str">
        <f aca="false">IF($A128="Seçildi",IF('1-Ders Havuzu'!J128="","",'1-Ders Havuzu'!J128),"")</f>
        <v/>
      </c>
      <c r="G128" s="19" t="str">
        <f aca="false">IF($A128="Seçildi",IF('1-Ders Havuzu'!H128="","",'1-Ders Havuzu'!H128),"")</f>
        <v/>
      </c>
      <c r="H128" s="22"/>
      <c r="I128" s="19" t="str">
        <f aca="false">IFERROR(IF($H128="","",INDEX('Öğretim Elemanları'!$A$4:$A$49,MATCH($H128,'Öğretim Elemanları'!$C$4:$C$49,0))),"")</f>
        <v/>
      </c>
    </row>
    <row r="129" customFormat="false" ht="15.75" hidden="false" customHeight="true" outlineLevel="0" collapsed="false">
      <c r="A129" s="17" t="n">
        <f aca="false">'1-Ders Havuzu'!K129</f>
        <v>0</v>
      </c>
      <c r="B129" s="17" t="str">
        <f aca="false">IF($A129="Seçildi",IF('1-Ders Havuzu'!C129="","",'1-Ders Havuzu'!C129),"")</f>
        <v/>
      </c>
      <c r="C129" s="24" t="str">
        <f aca="false">IF($A129="Seçildi",IF('1-Ders Havuzu'!D129="","",'1-Ders Havuzu'!D129),"")</f>
        <v/>
      </c>
      <c r="D129" s="17" t="str">
        <f aca="false">IF($A129="Seçildi",IF('1-Ders Havuzu'!A129="","",'1-Ders Havuzu'!A129),"")</f>
        <v/>
      </c>
      <c r="E129" s="17" t="str">
        <f aca="false">IF($A129="Seçildi",IF('1-Ders Havuzu'!B129="","",'1-Ders Havuzu'!B129),"")</f>
        <v/>
      </c>
      <c r="F129" s="17" t="str">
        <f aca="false">IF($A129="Seçildi",IF('1-Ders Havuzu'!J129="","",'1-Ders Havuzu'!J129),"")</f>
        <v/>
      </c>
      <c r="G129" s="17" t="str">
        <f aca="false">IF($A129="Seçildi",IF('1-Ders Havuzu'!H129="","",'1-Ders Havuzu'!H129),"")</f>
        <v/>
      </c>
      <c r="H129" s="22"/>
      <c r="I129" s="17" t="str">
        <f aca="false">IFERROR(IF($H129="","",INDEX('Öğretim Elemanları'!$A$4:$A$49,MATCH($H129,'Öğretim Elemanları'!$C$4:$C$49,0))),"")</f>
        <v/>
      </c>
    </row>
    <row r="130" customFormat="false" ht="15.75" hidden="false" customHeight="true" outlineLevel="0" collapsed="false">
      <c r="A130" s="19" t="n">
        <f aca="false">'1-Ders Havuzu'!K130</f>
        <v>0</v>
      </c>
      <c r="B130" s="19" t="str">
        <f aca="false">IF($A130="Seçildi",IF('1-Ders Havuzu'!C130="","",'1-Ders Havuzu'!C130),"")</f>
        <v/>
      </c>
      <c r="C130" s="26" t="str">
        <f aca="false">IF($A130="Seçildi",IF('1-Ders Havuzu'!D130="","",'1-Ders Havuzu'!D130),"")</f>
        <v/>
      </c>
      <c r="D130" s="19" t="str">
        <f aca="false">IF($A130="Seçildi",IF('1-Ders Havuzu'!A130="","",'1-Ders Havuzu'!A130),"")</f>
        <v/>
      </c>
      <c r="E130" s="19" t="str">
        <f aca="false">IF($A130="Seçildi",IF('1-Ders Havuzu'!B130="","",'1-Ders Havuzu'!B130),"")</f>
        <v/>
      </c>
      <c r="F130" s="19" t="str">
        <f aca="false">IF($A130="Seçildi",IF('1-Ders Havuzu'!J130="","",'1-Ders Havuzu'!J130),"")</f>
        <v/>
      </c>
      <c r="G130" s="19" t="str">
        <f aca="false">IF($A130="Seçildi",IF('1-Ders Havuzu'!H130="","",'1-Ders Havuzu'!H130),"")</f>
        <v/>
      </c>
      <c r="H130" s="22"/>
      <c r="I130" s="19" t="str">
        <f aca="false">IFERROR(IF($H130="","",INDEX('Öğretim Elemanları'!$A$4:$A$49,MATCH($H130,'Öğretim Elemanları'!$C$4:$C$49,0))),"")</f>
        <v/>
      </c>
    </row>
    <row r="131" customFormat="false" ht="15.75" hidden="false" customHeight="true" outlineLevel="0" collapsed="false">
      <c r="A131" s="17" t="n">
        <f aca="false">'1-Ders Havuzu'!K131</f>
        <v>0</v>
      </c>
      <c r="B131" s="17" t="str">
        <f aca="false">IF($A131="Seçildi",IF('1-Ders Havuzu'!C131="","",'1-Ders Havuzu'!C131),"")</f>
        <v/>
      </c>
      <c r="C131" s="24" t="str">
        <f aca="false">IF($A131="Seçildi",IF('1-Ders Havuzu'!D131="","",'1-Ders Havuzu'!D131),"")</f>
        <v/>
      </c>
      <c r="D131" s="17" t="str">
        <f aca="false">IF($A131="Seçildi",IF('1-Ders Havuzu'!A131="","",'1-Ders Havuzu'!A131),"")</f>
        <v/>
      </c>
      <c r="E131" s="17" t="str">
        <f aca="false">IF($A131="Seçildi",IF('1-Ders Havuzu'!B131="","",'1-Ders Havuzu'!B131),"")</f>
        <v/>
      </c>
      <c r="F131" s="17" t="str">
        <f aca="false">IF($A131="Seçildi",IF('1-Ders Havuzu'!J131="","",'1-Ders Havuzu'!J131),"")</f>
        <v/>
      </c>
      <c r="G131" s="17" t="str">
        <f aca="false">IF($A131="Seçildi",IF('1-Ders Havuzu'!H131="","",'1-Ders Havuzu'!H131),"")</f>
        <v/>
      </c>
      <c r="H131" s="22"/>
      <c r="I131" s="17" t="str">
        <f aca="false">IFERROR(IF($H131="","",INDEX('Öğretim Elemanları'!$A$4:$A$49,MATCH($H131,'Öğretim Elemanları'!$C$4:$C$49,0))),"")</f>
        <v/>
      </c>
    </row>
    <row r="132" customFormat="false" ht="15.75" hidden="false" customHeight="true" outlineLevel="0" collapsed="false">
      <c r="A132" s="19" t="n">
        <f aca="false">'1-Ders Havuzu'!K132</f>
        <v>0</v>
      </c>
      <c r="B132" s="19" t="str">
        <f aca="false">IF($A132="Seçildi",IF('1-Ders Havuzu'!C132="","",'1-Ders Havuzu'!C132),"")</f>
        <v/>
      </c>
      <c r="C132" s="26" t="str">
        <f aca="false">IF($A132="Seçildi",IF('1-Ders Havuzu'!D132="","",'1-Ders Havuzu'!D132),"")</f>
        <v/>
      </c>
      <c r="D132" s="19" t="str">
        <f aca="false">IF($A132="Seçildi",IF('1-Ders Havuzu'!A132="","",'1-Ders Havuzu'!A132),"")</f>
        <v/>
      </c>
      <c r="E132" s="19" t="str">
        <f aca="false">IF($A132="Seçildi",IF('1-Ders Havuzu'!B132="","",'1-Ders Havuzu'!B132),"")</f>
        <v/>
      </c>
      <c r="F132" s="19" t="str">
        <f aca="false">IF($A132="Seçildi",IF('1-Ders Havuzu'!J132="","",'1-Ders Havuzu'!J132),"")</f>
        <v/>
      </c>
      <c r="G132" s="19" t="str">
        <f aca="false">IF($A132="Seçildi",IF('1-Ders Havuzu'!H132="","",'1-Ders Havuzu'!H132),"")</f>
        <v/>
      </c>
      <c r="H132" s="22"/>
      <c r="I132" s="19" t="str">
        <f aca="false">IFERROR(IF($H132="","",INDEX('Öğretim Elemanları'!$A$4:$A$49,MATCH($H132,'Öğretim Elemanları'!$C$4:$C$49,0))),"")</f>
        <v/>
      </c>
    </row>
    <row r="133" customFormat="false" ht="15.75" hidden="false" customHeight="true" outlineLevel="0" collapsed="false">
      <c r="A133" s="17" t="n">
        <f aca="false">'1-Ders Havuzu'!K133</f>
        <v>0</v>
      </c>
      <c r="B133" s="17" t="str">
        <f aca="false">IF($A133="Seçildi",IF('1-Ders Havuzu'!C133="","",'1-Ders Havuzu'!C133),"")</f>
        <v/>
      </c>
      <c r="C133" s="24" t="str">
        <f aca="false">IF($A133="Seçildi",IF('1-Ders Havuzu'!D133="","",'1-Ders Havuzu'!D133),"")</f>
        <v/>
      </c>
      <c r="D133" s="17" t="str">
        <f aca="false">IF($A133="Seçildi",IF('1-Ders Havuzu'!A133="","",'1-Ders Havuzu'!A133),"")</f>
        <v/>
      </c>
      <c r="E133" s="17" t="str">
        <f aca="false">IF($A133="Seçildi",IF('1-Ders Havuzu'!B133="","",'1-Ders Havuzu'!B133),"")</f>
        <v/>
      </c>
      <c r="F133" s="17" t="str">
        <f aca="false">IF($A133="Seçildi",IF('1-Ders Havuzu'!J133="","",'1-Ders Havuzu'!J133),"")</f>
        <v/>
      </c>
      <c r="G133" s="17" t="str">
        <f aca="false">IF($A133="Seçildi",IF('1-Ders Havuzu'!H133="","",'1-Ders Havuzu'!H133),"")</f>
        <v/>
      </c>
      <c r="H133" s="22"/>
      <c r="I133" s="17" t="str">
        <f aca="false">IFERROR(IF($H133="","",INDEX('Öğretim Elemanları'!$A$4:$A$49,MATCH($H133,'Öğretim Elemanları'!$C$4:$C$49,0))),"")</f>
        <v/>
      </c>
    </row>
    <row r="134" customFormat="false" ht="15.75" hidden="false" customHeight="true" outlineLevel="0" collapsed="false">
      <c r="A134" s="19" t="n">
        <f aca="false">'1-Ders Havuzu'!K134</f>
        <v>0</v>
      </c>
      <c r="B134" s="19" t="str">
        <f aca="false">IF($A134="Seçildi",IF('1-Ders Havuzu'!C134="","",'1-Ders Havuzu'!C134),"")</f>
        <v/>
      </c>
      <c r="C134" s="26" t="str">
        <f aca="false">IF($A134="Seçildi",IF('1-Ders Havuzu'!D134="","",'1-Ders Havuzu'!D134),"")</f>
        <v/>
      </c>
      <c r="D134" s="19" t="str">
        <f aca="false">IF($A134="Seçildi",IF('1-Ders Havuzu'!A134="","",'1-Ders Havuzu'!A134),"")</f>
        <v/>
      </c>
      <c r="E134" s="19" t="str">
        <f aca="false">IF($A134="Seçildi",IF('1-Ders Havuzu'!B134="","",'1-Ders Havuzu'!B134),"")</f>
        <v/>
      </c>
      <c r="F134" s="19" t="str">
        <f aca="false">IF($A134="Seçildi",IF('1-Ders Havuzu'!J134="","",'1-Ders Havuzu'!J134),"")</f>
        <v/>
      </c>
      <c r="G134" s="19" t="str">
        <f aca="false">IF($A134="Seçildi",IF('1-Ders Havuzu'!H134="","",'1-Ders Havuzu'!H134),"")</f>
        <v/>
      </c>
      <c r="H134" s="22"/>
      <c r="I134" s="19" t="str">
        <f aca="false">IFERROR(IF($H134="","",INDEX('Öğretim Elemanları'!$A$4:$A$49,MATCH($H134,'Öğretim Elemanları'!$C$4:$C$49,0))),"")</f>
        <v/>
      </c>
    </row>
    <row r="135" customFormat="false" ht="15.75" hidden="false" customHeight="true" outlineLevel="0" collapsed="false">
      <c r="A135" s="17" t="n">
        <f aca="false">'1-Ders Havuzu'!K135</f>
        <v>0</v>
      </c>
      <c r="B135" s="17" t="str">
        <f aca="false">IF($A135="Seçildi",IF('1-Ders Havuzu'!C135="","",'1-Ders Havuzu'!C135),"")</f>
        <v/>
      </c>
      <c r="C135" s="24" t="str">
        <f aca="false">IF($A135="Seçildi",IF('1-Ders Havuzu'!D135="","",'1-Ders Havuzu'!D135),"")</f>
        <v/>
      </c>
      <c r="D135" s="17" t="str">
        <f aca="false">IF($A135="Seçildi",IF('1-Ders Havuzu'!A135="","",'1-Ders Havuzu'!A135),"")</f>
        <v/>
      </c>
      <c r="E135" s="17" t="str">
        <f aca="false">IF($A135="Seçildi",IF('1-Ders Havuzu'!B135="","",'1-Ders Havuzu'!B135),"")</f>
        <v/>
      </c>
      <c r="F135" s="17" t="str">
        <f aca="false">IF($A135="Seçildi",IF('1-Ders Havuzu'!J135="","",'1-Ders Havuzu'!J135),"")</f>
        <v/>
      </c>
      <c r="G135" s="17" t="str">
        <f aca="false">IF($A135="Seçildi",IF('1-Ders Havuzu'!H135="","",'1-Ders Havuzu'!H135),"")</f>
        <v/>
      </c>
      <c r="H135" s="22"/>
      <c r="I135" s="17" t="str">
        <f aca="false">IFERROR(IF($H135="","",INDEX('Öğretim Elemanları'!$A$4:$A$49,MATCH($H135,'Öğretim Elemanları'!$C$4:$C$49,0))),"")</f>
        <v/>
      </c>
    </row>
    <row r="136" customFormat="false" ht="15.75" hidden="false" customHeight="true" outlineLevel="0" collapsed="false">
      <c r="A136" s="19" t="n">
        <f aca="false">'1-Ders Havuzu'!K136</f>
        <v>0</v>
      </c>
      <c r="B136" s="19" t="str">
        <f aca="false">IF($A136="Seçildi",IF('1-Ders Havuzu'!C136="","",'1-Ders Havuzu'!C136),"")</f>
        <v/>
      </c>
      <c r="C136" s="26" t="str">
        <f aca="false">IF($A136="Seçildi",IF('1-Ders Havuzu'!D136="","",'1-Ders Havuzu'!D136),"")</f>
        <v/>
      </c>
      <c r="D136" s="19" t="str">
        <f aca="false">IF($A136="Seçildi",IF('1-Ders Havuzu'!A136="","",'1-Ders Havuzu'!A136),"")</f>
        <v/>
      </c>
      <c r="E136" s="19" t="str">
        <f aca="false">IF($A136="Seçildi",IF('1-Ders Havuzu'!B136="","",'1-Ders Havuzu'!B136),"")</f>
        <v/>
      </c>
      <c r="F136" s="19" t="str">
        <f aca="false">IF($A136="Seçildi",IF('1-Ders Havuzu'!J136="","",'1-Ders Havuzu'!J136),"")</f>
        <v/>
      </c>
      <c r="G136" s="19" t="str">
        <f aca="false">IF($A136="Seçildi",IF('1-Ders Havuzu'!H136="","",'1-Ders Havuzu'!H136),"")</f>
        <v/>
      </c>
      <c r="H136" s="22"/>
      <c r="I136" s="19" t="str">
        <f aca="false">IFERROR(IF($H136="","",INDEX('Öğretim Elemanları'!$A$4:$A$49,MATCH($H136,'Öğretim Elemanları'!$C$4:$C$49,0))),"")</f>
        <v/>
      </c>
    </row>
    <row r="137" customFormat="false" ht="15.75" hidden="false" customHeight="true" outlineLevel="0" collapsed="false">
      <c r="A137" s="17" t="n">
        <f aca="false">'1-Ders Havuzu'!K137</f>
        <v>0</v>
      </c>
      <c r="B137" s="17" t="str">
        <f aca="false">IF($A137="Seçildi",IF('1-Ders Havuzu'!C137="","",'1-Ders Havuzu'!C137),"")</f>
        <v/>
      </c>
      <c r="C137" s="24" t="str">
        <f aca="false">IF($A137="Seçildi",IF('1-Ders Havuzu'!D137="","",'1-Ders Havuzu'!D137),"")</f>
        <v/>
      </c>
      <c r="D137" s="17" t="str">
        <f aca="false">IF($A137="Seçildi",IF('1-Ders Havuzu'!A137="","",'1-Ders Havuzu'!A137),"")</f>
        <v/>
      </c>
      <c r="E137" s="17" t="str">
        <f aca="false">IF($A137="Seçildi",IF('1-Ders Havuzu'!B137="","",'1-Ders Havuzu'!B137),"")</f>
        <v/>
      </c>
      <c r="F137" s="17" t="str">
        <f aca="false">IF($A137="Seçildi",IF('1-Ders Havuzu'!J137="","",'1-Ders Havuzu'!J137),"")</f>
        <v/>
      </c>
      <c r="G137" s="17" t="str">
        <f aca="false">IF($A137="Seçildi",IF('1-Ders Havuzu'!H137="","",'1-Ders Havuzu'!H137),"")</f>
        <v/>
      </c>
      <c r="H137" s="22"/>
      <c r="I137" s="17" t="str">
        <f aca="false">IFERROR(IF($H137="","",INDEX('Öğretim Elemanları'!$A$4:$A$49,MATCH($H137,'Öğretim Elemanları'!$C$4:$C$49,0))),"")</f>
        <v/>
      </c>
    </row>
    <row r="138" customFormat="false" ht="15.75" hidden="false" customHeight="true" outlineLevel="0" collapsed="false">
      <c r="A138" s="19" t="n">
        <f aca="false">'1-Ders Havuzu'!K138</f>
        <v>0</v>
      </c>
      <c r="B138" s="19" t="str">
        <f aca="false">IF($A138="Seçildi",IF('1-Ders Havuzu'!C138="","",'1-Ders Havuzu'!C138),"")</f>
        <v/>
      </c>
      <c r="C138" s="26" t="str">
        <f aca="false">IF($A138="Seçildi",IF('1-Ders Havuzu'!D138="","",'1-Ders Havuzu'!D138),"")</f>
        <v/>
      </c>
      <c r="D138" s="19" t="str">
        <f aca="false">IF($A138="Seçildi",IF('1-Ders Havuzu'!A138="","",'1-Ders Havuzu'!A138),"")</f>
        <v/>
      </c>
      <c r="E138" s="19" t="str">
        <f aca="false">IF($A138="Seçildi",IF('1-Ders Havuzu'!B138="","",'1-Ders Havuzu'!B138),"")</f>
        <v/>
      </c>
      <c r="F138" s="19" t="str">
        <f aca="false">IF($A138="Seçildi",IF('1-Ders Havuzu'!J138="","",'1-Ders Havuzu'!J138),"")</f>
        <v/>
      </c>
      <c r="G138" s="19" t="str">
        <f aca="false">IF($A138="Seçildi",IF('1-Ders Havuzu'!H138="","",'1-Ders Havuzu'!H138),"")</f>
        <v/>
      </c>
      <c r="H138" s="22"/>
      <c r="I138" s="19" t="str">
        <f aca="false">IFERROR(IF($H138="","",INDEX('Öğretim Elemanları'!$A$4:$A$49,MATCH($H138,'Öğretim Elemanları'!$C$4:$C$49,0))),"")</f>
        <v/>
      </c>
    </row>
    <row r="139" customFormat="false" ht="15.75" hidden="false" customHeight="true" outlineLevel="0" collapsed="false">
      <c r="A139" s="17" t="n">
        <f aca="false">'1-Ders Havuzu'!K139</f>
        <v>0</v>
      </c>
      <c r="B139" s="17" t="str">
        <f aca="false">IF($A139="Seçildi",IF('1-Ders Havuzu'!C139="","",'1-Ders Havuzu'!C139),"")</f>
        <v/>
      </c>
      <c r="C139" s="24" t="str">
        <f aca="false">IF($A139="Seçildi",IF('1-Ders Havuzu'!D139="","",'1-Ders Havuzu'!D139),"")</f>
        <v/>
      </c>
      <c r="D139" s="17" t="str">
        <f aca="false">IF($A139="Seçildi",IF('1-Ders Havuzu'!A139="","",'1-Ders Havuzu'!A139),"")</f>
        <v/>
      </c>
      <c r="E139" s="17" t="str">
        <f aca="false">IF($A139="Seçildi",IF('1-Ders Havuzu'!B139="","",'1-Ders Havuzu'!B139),"")</f>
        <v/>
      </c>
      <c r="F139" s="17" t="str">
        <f aca="false">IF($A139="Seçildi",IF('1-Ders Havuzu'!J139="","",'1-Ders Havuzu'!J139),"")</f>
        <v/>
      </c>
      <c r="G139" s="17" t="str">
        <f aca="false">IF($A139="Seçildi",IF('1-Ders Havuzu'!H139="","",'1-Ders Havuzu'!H139),"")</f>
        <v/>
      </c>
      <c r="H139" s="22"/>
      <c r="I139" s="17" t="str">
        <f aca="false">IFERROR(IF($H139="","",INDEX('Öğretim Elemanları'!$A$4:$A$49,MATCH($H139,'Öğretim Elemanları'!$C$4:$C$49,0))),"")</f>
        <v/>
      </c>
    </row>
    <row r="140" customFormat="false" ht="15.75" hidden="false" customHeight="true" outlineLevel="0" collapsed="false">
      <c r="A140" s="19" t="n">
        <f aca="false">'1-Ders Havuzu'!K140</f>
        <v>0</v>
      </c>
      <c r="B140" s="19" t="str">
        <f aca="false">IF($A140="Seçildi",IF('1-Ders Havuzu'!C140="","",'1-Ders Havuzu'!C140),"")</f>
        <v/>
      </c>
      <c r="C140" s="26" t="str">
        <f aca="false">IF($A140="Seçildi",IF('1-Ders Havuzu'!D140="","",'1-Ders Havuzu'!D140),"")</f>
        <v/>
      </c>
      <c r="D140" s="19" t="str">
        <f aca="false">IF($A140="Seçildi",IF('1-Ders Havuzu'!A140="","",'1-Ders Havuzu'!A140),"")</f>
        <v/>
      </c>
      <c r="E140" s="19" t="str">
        <f aca="false">IF($A140="Seçildi",IF('1-Ders Havuzu'!B140="","",'1-Ders Havuzu'!B140),"")</f>
        <v/>
      </c>
      <c r="F140" s="19" t="str">
        <f aca="false">IF($A140="Seçildi",IF('1-Ders Havuzu'!J140="","",'1-Ders Havuzu'!J140),"")</f>
        <v/>
      </c>
      <c r="G140" s="19" t="str">
        <f aca="false">IF($A140="Seçildi",IF('1-Ders Havuzu'!H140="","",'1-Ders Havuzu'!H140),"")</f>
        <v/>
      </c>
      <c r="H140" s="22"/>
      <c r="I140" s="19" t="str">
        <f aca="false">IFERROR(IF($H140="","",INDEX('Öğretim Elemanları'!$A$4:$A$49,MATCH($H140,'Öğretim Elemanları'!$C$4:$C$49,0))),"")</f>
        <v/>
      </c>
    </row>
    <row r="141" customFormat="false" ht="15.75" hidden="false" customHeight="true" outlineLevel="0" collapsed="false">
      <c r="A141" s="17" t="n">
        <f aca="false">'1-Ders Havuzu'!K141</f>
        <v>0</v>
      </c>
      <c r="B141" s="17" t="str">
        <f aca="false">IF($A141="Seçildi",IF('1-Ders Havuzu'!C141="","",'1-Ders Havuzu'!C141),"")</f>
        <v/>
      </c>
      <c r="C141" s="24" t="str">
        <f aca="false">IF($A141="Seçildi",IF('1-Ders Havuzu'!D141="","",'1-Ders Havuzu'!D141),"")</f>
        <v/>
      </c>
      <c r="D141" s="17" t="str">
        <f aca="false">IF($A141="Seçildi",IF('1-Ders Havuzu'!A141="","",'1-Ders Havuzu'!A141),"")</f>
        <v/>
      </c>
      <c r="E141" s="17" t="str">
        <f aca="false">IF($A141="Seçildi",IF('1-Ders Havuzu'!B141="","",'1-Ders Havuzu'!B141),"")</f>
        <v/>
      </c>
      <c r="F141" s="17" t="str">
        <f aca="false">IF($A141="Seçildi",IF('1-Ders Havuzu'!J141="","",'1-Ders Havuzu'!J141),"")</f>
        <v/>
      </c>
      <c r="G141" s="17" t="str">
        <f aca="false">IF($A141="Seçildi",IF('1-Ders Havuzu'!H141="","",'1-Ders Havuzu'!H141),"")</f>
        <v/>
      </c>
      <c r="H141" s="22"/>
      <c r="I141" s="17" t="str">
        <f aca="false">IFERROR(IF($H141="","",INDEX('Öğretim Elemanları'!$A$4:$A$49,MATCH($H141,'Öğretim Elemanları'!$C$4:$C$49,0))),"")</f>
        <v/>
      </c>
    </row>
    <row r="142" customFormat="false" ht="15.75" hidden="false" customHeight="true" outlineLevel="0" collapsed="false">
      <c r="A142" s="19" t="n">
        <f aca="false">'1-Ders Havuzu'!K142</f>
        <v>0</v>
      </c>
      <c r="B142" s="19" t="str">
        <f aca="false">IF($A142="Seçildi",IF('1-Ders Havuzu'!C142="","",'1-Ders Havuzu'!C142),"")</f>
        <v/>
      </c>
      <c r="C142" s="26" t="str">
        <f aca="false">IF($A142="Seçildi",IF('1-Ders Havuzu'!D142="","",'1-Ders Havuzu'!D142),"")</f>
        <v/>
      </c>
      <c r="D142" s="19" t="str">
        <f aca="false">IF($A142="Seçildi",IF('1-Ders Havuzu'!A142="","",'1-Ders Havuzu'!A142),"")</f>
        <v/>
      </c>
      <c r="E142" s="19" t="str">
        <f aca="false">IF($A142="Seçildi",IF('1-Ders Havuzu'!B142="","",'1-Ders Havuzu'!B142),"")</f>
        <v/>
      </c>
      <c r="F142" s="19" t="str">
        <f aca="false">IF($A142="Seçildi",IF('1-Ders Havuzu'!J142="","",'1-Ders Havuzu'!J142),"")</f>
        <v/>
      </c>
      <c r="G142" s="19" t="str">
        <f aca="false">IF($A142="Seçildi",IF('1-Ders Havuzu'!H142="","",'1-Ders Havuzu'!H142),"")</f>
        <v/>
      </c>
      <c r="H142" s="22"/>
      <c r="I142" s="19" t="str">
        <f aca="false">IFERROR(IF($H142="","",INDEX('Öğretim Elemanları'!$A$4:$A$49,MATCH($H142,'Öğretim Elemanları'!$C$4:$C$49,0))),"")</f>
        <v/>
      </c>
    </row>
    <row r="143" customFormat="false" ht="15.75" hidden="false" customHeight="true" outlineLevel="0" collapsed="false">
      <c r="A143" s="17" t="n">
        <f aca="false">'1-Ders Havuzu'!K143</f>
        <v>0</v>
      </c>
      <c r="B143" s="17" t="str">
        <f aca="false">IF($A143="Seçildi",IF('1-Ders Havuzu'!C143="","",'1-Ders Havuzu'!C143),"")</f>
        <v/>
      </c>
      <c r="C143" s="24" t="str">
        <f aca="false">IF($A143="Seçildi",IF('1-Ders Havuzu'!D143="","",'1-Ders Havuzu'!D143),"")</f>
        <v/>
      </c>
      <c r="D143" s="17" t="str">
        <f aca="false">IF($A143="Seçildi",IF('1-Ders Havuzu'!A143="","",'1-Ders Havuzu'!A143),"")</f>
        <v/>
      </c>
      <c r="E143" s="17" t="str">
        <f aca="false">IF($A143="Seçildi",IF('1-Ders Havuzu'!B143="","",'1-Ders Havuzu'!B143),"")</f>
        <v/>
      </c>
      <c r="F143" s="17" t="str">
        <f aca="false">IF($A143="Seçildi",IF('1-Ders Havuzu'!J143="","",'1-Ders Havuzu'!J143),"")</f>
        <v/>
      </c>
      <c r="G143" s="17" t="str">
        <f aca="false">IF($A143="Seçildi",IF('1-Ders Havuzu'!H143="","",'1-Ders Havuzu'!H143),"")</f>
        <v/>
      </c>
      <c r="H143" s="22"/>
      <c r="I143" s="17" t="str">
        <f aca="false">IFERROR(IF($H143="","",INDEX('Öğretim Elemanları'!$A$4:$A$49,MATCH($H143,'Öğretim Elemanları'!$C$4:$C$49,0))),"")</f>
        <v/>
      </c>
    </row>
    <row r="144" customFormat="false" ht="15.75" hidden="false" customHeight="true" outlineLevel="0" collapsed="false">
      <c r="A144" s="19" t="n">
        <f aca="false">'1-Ders Havuzu'!K144</f>
        <v>0</v>
      </c>
      <c r="B144" s="19" t="str">
        <f aca="false">IF($A144="Seçildi",IF('1-Ders Havuzu'!C144="","",'1-Ders Havuzu'!C144),"")</f>
        <v/>
      </c>
      <c r="C144" s="26" t="str">
        <f aca="false">IF($A144="Seçildi",IF('1-Ders Havuzu'!D144="","",'1-Ders Havuzu'!D144),"")</f>
        <v/>
      </c>
      <c r="D144" s="19" t="str">
        <f aca="false">IF($A144="Seçildi",IF('1-Ders Havuzu'!A144="","",'1-Ders Havuzu'!A144),"")</f>
        <v/>
      </c>
      <c r="E144" s="19" t="str">
        <f aca="false">IF($A144="Seçildi",IF('1-Ders Havuzu'!B144="","",'1-Ders Havuzu'!B144),"")</f>
        <v/>
      </c>
      <c r="F144" s="19" t="str">
        <f aca="false">IF($A144="Seçildi",IF('1-Ders Havuzu'!J144="","",'1-Ders Havuzu'!J144),"")</f>
        <v/>
      </c>
      <c r="G144" s="19" t="str">
        <f aca="false">IF($A144="Seçildi",IF('1-Ders Havuzu'!H144="","",'1-Ders Havuzu'!H144),"")</f>
        <v/>
      </c>
      <c r="H144" s="22"/>
      <c r="I144" s="19" t="str">
        <f aca="false">IFERROR(IF($H144="","",INDEX('Öğretim Elemanları'!$A$4:$A$49,MATCH($H144,'Öğretim Elemanları'!$C$4:$C$49,0))),"")</f>
        <v/>
      </c>
    </row>
    <row r="145" customFormat="false" ht="15.75" hidden="false" customHeight="true" outlineLevel="0" collapsed="false">
      <c r="A145" s="17" t="n">
        <f aca="false">'1-Ders Havuzu'!K145</f>
        <v>0</v>
      </c>
      <c r="B145" s="17" t="str">
        <f aca="false">IF($A145="Seçildi",IF('1-Ders Havuzu'!C145="","",'1-Ders Havuzu'!C145),"")</f>
        <v/>
      </c>
      <c r="C145" s="24" t="str">
        <f aca="false">IF($A145="Seçildi",IF('1-Ders Havuzu'!D145="","",'1-Ders Havuzu'!D145),"")</f>
        <v/>
      </c>
      <c r="D145" s="17" t="str">
        <f aca="false">IF($A145="Seçildi",IF('1-Ders Havuzu'!A145="","",'1-Ders Havuzu'!A145),"")</f>
        <v/>
      </c>
      <c r="E145" s="17" t="str">
        <f aca="false">IF($A145="Seçildi",IF('1-Ders Havuzu'!B145="","",'1-Ders Havuzu'!B145),"")</f>
        <v/>
      </c>
      <c r="F145" s="17" t="str">
        <f aca="false">IF($A145="Seçildi",IF('1-Ders Havuzu'!J145="","",'1-Ders Havuzu'!J145),"")</f>
        <v/>
      </c>
      <c r="G145" s="17" t="str">
        <f aca="false">IF($A145="Seçildi",IF('1-Ders Havuzu'!H145="","",'1-Ders Havuzu'!H145),"")</f>
        <v/>
      </c>
      <c r="H145" s="22"/>
      <c r="I145" s="17" t="str">
        <f aca="false">IFERROR(IF($H145="","",INDEX('Öğretim Elemanları'!$A$4:$A$49,MATCH($H145,'Öğretim Elemanları'!$C$4:$C$49,0))),"")</f>
        <v/>
      </c>
    </row>
    <row r="146" customFormat="false" ht="15.75" hidden="false" customHeight="true" outlineLevel="0" collapsed="false">
      <c r="A146" s="19" t="n">
        <f aca="false">'1-Ders Havuzu'!K146</f>
        <v>0</v>
      </c>
      <c r="B146" s="19" t="str">
        <f aca="false">IF($A146="Seçildi",IF('1-Ders Havuzu'!C146="","",'1-Ders Havuzu'!C146),"")</f>
        <v/>
      </c>
      <c r="C146" s="26" t="str">
        <f aca="false">IF($A146="Seçildi",IF('1-Ders Havuzu'!D146="","",'1-Ders Havuzu'!D146),"")</f>
        <v/>
      </c>
      <c r="D146" s="19" t="str">
        <f aca="false">IF($A146="Seçildi",IF('1-Ders Havuzu'!A146="","",'1-Ders Havuzu'!A146),"")</f>
        <v/>
      </c>
      <c r="E146" s="19" t="str">
        <f aca="false">IF($A146="Seçildi",IF('1-Ders Havuzu'!B146="","",'1-Ders Havuzu'!B146),"")</f>
        <v/>
      </c>
      <c r="F146" s="19" t="str">
        <f aca="false">IF($A146="Seçildi",IF('1-Ders Havuzu'!J146="","",'1-Ders Havuzu'!J146),"")</f>
        <v/>
      </c>
      <c r="G146" s="19" t="str">
        <f aca="false">IF($A146="Seçildi",IF('1-Ders Havuzu'!H146="","",'1-Ders Havuzu'!H146),"")</f>
        <v/>
      </c>
      <c r="H146" s="22"/>
      <c r="I146" s="19" t="str">
        <f aca="false">IFERROR(IF($H146="","",INDEX('Öğretim Elemanları'!$A$4:$A$49,MATCH($H146,'Öğretim Elemanları'!$C$4:$C$49,0))),"")</f>
        <v/>
      </c>
    </row>
    <row r="147" customFormat="false" ht="15.75" hidden="false" customHeight="true" outlineLevel="0" collapsed="false">
      <c r="A147" s="17" t="n">
        <f aca="false">'1-Ders Havuzu'!K147</f>
        <v>0</v>
      </c>
      <c r="B147" s="17" t="str">
        <f aca="false">IF($A147="Seçildi",IF('1-Ders Havuzu'!C147="","",'1-Ders Havuzu'!C147),"")</f>
        <v/>
      </c>
      <c r="C147" s="24" t="str">
        <f aca="false">IF($A147="Seçildi",IF('1-Ders Havuzu'!D147="","",'1-Ders Havuzu'!D147),"")</f>
        <v/>
      </c>
      <c r="D147" s="17" t="str">
        <f aca="false">IF($A147="Seçildi",IF('1-Ders Havuzu'!A147="","",'1-Ders Havuzu'!A147),"")</f>
        <v/>
      </c>
      <c r="E147" s="17" t="str">
        <f aca="false">IF($A147="Seçildi",IF('1-Ders Havuzu'!B147="","",'1-Ders Havuzu'!B147),"")</f>
        <v/>
      </c>
      <c r="F147" s="17" t="str">
        <f aca="false">IF($A147="Seçildi",IF('1-Ders Havuzu'!J147="","",'1-Ders Havuzu'!J147),"")</f>
        <v/>
      </c>
      <c r="G147" s="17" t="str">
        <f aca="false">IF($A147="Seçildi",IF('1-Ders Havuzu'!H147="","",'1-Ders Havuzu'!H147),"")</f>
        <v/>
      </c>
      <c r="H147" s="22"/>
      <c r="I147" s="17" t="str">
        <f aca="false">IFERROR(IF($H147="","",INDEX('Öğretim Elemanları'!$A$4:$A$49,MATCH($H147,'Öğretim Elemanları'!$C$4:$C$49,0))),"")</f>
        <v/>
      </c>
    </row>
    <row r="148" customFormat="false" ht="15.75" hidden="false" customHeight="true" outlineLevel="0" collapsed="false">
      <c r="A148" s="19" t="n">
        <f aca="false">'1-Ders Havuzu'!K148</f>
        <v>0</v>
      </c>
      <c r="B148" s="19" t="str">
        <f aca="false">IF($A148="Seçildi",IF('1-Ders Havuzu'!C148="","",'1-Ders Havuzu'!C148),"")</f>
        <v/>
      </c>
      <c r="C148" s="26" t="str">
        <f aca="false">IF($A148="Seçildi",IF('1-Ders Havuzu'!D148="","",'1-Ders Havuzu'!D148),"")</f>
        <v/>
      </c>
      <c r="D148" s="19" t="str">
        <f aca="false">IF($A148="Seçildi",IF('1-Ders Havuzu'!A148="","",'1-Ders Havuzu'!A148),"")</f>
        <v/>
      </c>
      <c r="E148" s="19" t="str">
        <f aca="false">IF($A148="Seçildi",IF('1-Ders Havuzu'!B148="","",'1-Ders Havuzu'!B148),"")</f>
        <v/>
      </c>
      <c r="F148" s="19" t="str">
        <f aca="false">IF($A148="Seçildi",IF('1-Ders Havuzu'!J148="","",'1-Ders Havuzu'!J148),"")</f>
        <v/>
      </c>
      <c r="G148" s="19" t="str">
        <f aca="false">IF($A148="Seçildi",IF('1-Ders Havuzu'!H148="","",'1-Ders Havuzu'!H148),"")</f>
        <v/>
      </c>
      <c r="H148" s="22"/>
      <c r="I148" s="19" t="str">
        <f aca="false">IFERROR(IF($H148="","",INDEX('Öğretim Elemanları'!$A$4:$A$49,MATCH($H148,'Öğretim Elemanları'!$C$4:$C$49,0))),"")</f>
        <v/>
      </c>
    </row>
    <row r="149" customFormat="false" ht="15.75" hidden="false" customHeight="true" outlineLevel="0" collapsed="false">
      <c r="A149" s="17" t="n">
        <f aca="false">'1-Ders Havuzu'!K149</f>
        <v>0</v>
      </c>
      <c r="B149" s="17" t="str">
        <f aca="false">IF($A149="Seçildi",IF('1-Ders Havuzu'!C149="","",'1-Ders Havuzu'!C149),"")</f>
        <v/>
      </c>
      <c r="C149" s="24" t="str">
        <f aca="false">IF($A149="Seçildi",IF('1-Ders Havuzu'!D149="","",'1-Ders Havuzu'!D149),"")</f>
        <v/>
      </c>
      <c r="D149" s="17" t="str">
        <f aca="false">IF($A149="Seçildi",IF('1-Ders Havuzu'!A149="","",'1-Ders Havuzu'!A149),"")</f>
        <v/>
      </c>
      <c r="E149" s="17" t="str">
        <f aca="false">IF($A149="Seçildi",IF('1-Ders Havuzu'!B149="","",'1-Ders Havuzu'!B149),"")</f>
        <v/>
      </c>
      <c r="F149" s="17" t="str">
        <f aca="false">IF($A149="Seçildi",IF('1-Ders Havuzu'!J149="","",'1-Ders Havuzu'!J149),"")</f>
        <v/>
      </c>
      <c r="G149" s="17" t="str">
        <f aca="false">IF($A149="Seçildi",IF('1-Ders Havuzu'!H149="","",'1-Ders Havuzu'!H149),"")</f>
        <v/>
      </c>
      <c r="H149" s="22"/>
      <c r="I149" s="17" t="str">
        <f aca="false">IFERROR(IF($H149="","",INDEX('Öğretim Elemanları'!$A$4:$A$49,MATCH($H149,'Öğretim Elemanları'!$C$4:$C$49,0))),"")</f>
        <v/>
      </c>
    </row>
    <row r="150" customFormat="false" ht="15.75" hidden="false" customHeight="true" outlineLevel="0" collapsed="false">
      <c r="A150" s="19" t="n">
        <f aca="false">'1-Ders Havuzu'!K150</f>
        <v>0</v>
      </c>
      <c r="B150" s="19" t="str">
        <f aca="false">IF($A150="Seçildi",IF('1-Ders Havuzu'!C150="","",'1-Ders Havuzu'!C150),"")</f>
        <v/>
      </c>
      <c r="C150" s="26" t="str">
        <f aca="false">IF($A150="Seçildi",IF('1-Ders Havuzu'!D150="","",'1-Ders Havuzu'!D150),"")</f>
        <v/>
      </c>
      <c r="D150" s="19" t="str">
        <f aca="false">IF($A150="Seçildi",IF('1-Ders Havuzu'!A150="","",'1-Ders Havuzu'!A150),"")</f>
        <v/>
      </c>
      <c r="E150" s="19" t="str">
        <f aca="false">IF($A150="Seçildi",IF('1-Ders Havuzu'!B150="","",'1-Ders Havuzu'!B150),"")</f>
        <v/>
      </c>
      <c r="F150" s="19" t="str">
        <f aca="false">IF($A150="Seçildi",IF('1-Ders Havuzu'!J150="","",'1-Ders Havuzu'!J150),"")</f>
        <v/>
      </c>
      <c r="G150" s="19" t="str">
        <f aca="false">IF($A150="Seçildi",IF('1-Ders Havuzu'!H150="","",'1-Ders Havuzu'!H150),"")</f>
        <v/>
      </c>
      <c r="H150" s="22"/>
      <c r="I150" s="19" t="str">
        <f aca="false">IFERROR(IF($H150="","",INDEX('Öğretim Elemanları'!$A$4:$A$49,MATCH($H150,'Öğretim Elemanları'!$C$4:$C$49,0))),"")</f>
        <v/>
      </c>
    </row>
    <row r="151" customFormat="false" ht="15.75" hidden="false" customHeight="true" outlineLevel="0" collapsed="false">
      <c r="A151" s="17" t="n">
        <f aca="false">'1-Ders Havuzu'!K151</f>
        <v>0</v>
      </c>
      <c r="B151" s="17" t="str">
        <f aca="false">IF($A151="Seçildi",IF('1-Ders Havuzu'!C151="","",'1-Ders Havuzu'!C151),"")</f>
        <v/>
      </c>
      <c r="C151" s="24" t="str">
        <f aca="false">IF($A151="Seçildi",IF('1-Ders Havuzu'!D151="","",'1-Ders Havuzu'!D151),"")</f>
        <v/>
      </c>
      <c r="D151" s="17" t="str">
        <f aca="false">IF($A151="Seçildi",IF('1-Ders Havuzu'!A151="","",'1-Ders Havuzu'!A151),"")</f>
        <v/>
      </c>
      <c r="E151" s="17" t="str">
        <f aca="false">IF($A151="Seçildi",IF('1-Ders Havuzu'!B151="","",'1-Ders Havuzu'!B151),"")</f>
        <v/>
      </c>
      <c r="F151" s="17" t="str">
        <f aca="false">IF($A151="Seçildi",IF('1-Ders Havuzu'!J151="","",'1-Ders Havuzu'!J151),"")</f>
        <v/>
      </c>
      <c r="G151" s="17" t="str">
        <f aca="false">IF($A151="Seçildi",IF('1-Ders Havuzu'!H151="","",'1-Ders Havuzu'!H151),"")</f>
        <v/>
      </c>
      <c r="H151" s="22"/>
      <c r="I151" s="17" t="str">
        <f aca="false">IFERROR(IF($H151="","",INDEX('Öğretim Elemanları'!$A$4:$A$49,MATCH($H151,'Öğretim Elemanları'!$C$4:$C$49,0))),"")</f>
        <v/>
      </c>
    </row>
    <row r="152" customFormat="false" ht="15.75" hidden="false" customHeight="true" outlineLevel="0" collapsed="false">
      <c r="A152" s="19" t="n">
        <f aca="false">'1-Ders Havuzu'!K152</f>
        <v>0</v>
      </c>
      <c r="B152" s="19" t="str">
        <f aca="false">IF($A152="Seçildi",IF('1-Ders Havuzu'!C152="","",'1-Ders Havuzu'!C152),"")</f>
        <v/>
      </c>
      <c r="C152" s="26" t="str">
        <f aca="false">IF($A152="Seçildi",IF('1-Ders Havuzu'!D152="","",'1-Ders Havuzu'!D152),"")</f>
        <v/>
      </c>
      <c r="D152" s="19" t="str">
        <f aca="false">IF($A152="Seçildi",IF('1-Ders Havuzu'!A152="","",'1-Ders Havuzu'!A152),"")</f>
        <v/>
      </c>
      <c r="E152" s="19" t="str">
        <f aca="false">IF($A152="Seçildi",IF('1-Ders Havuzu'!B152="","",'1-Ders Havuzu'!B152),"")</f>
        <v/>
      </c>
      <c r="F152" s="19" t="str">
        <f aca="false">IF($A152="Seçildi",IF('1-Ders Havuzu'!J152="","",'1-Ders Havuzu'!J152),"")</f>
        <v/>
      </c>
      <c r="G152" s="19" t="str">
        <f aca="false">IF($A152="Seçildi",IF('1-Ders Havuzu'!H152="","",'1-Ders Havuzu'!H152),"")</f>
        <v/>
      </c>
      <c r="H152" s="22"/>
      <c r="I152" s="19" t="str">
        <f aca="false">IFERROR(IF($H152="","",INDEX('Öğretim Elemanları'!$A$4:$A$49,MATCH($H152,'Öğretim Elemanları'!$C$4:$C$49,0))),"")</f>
        <v/>
      </c>
    </row>
  </sheetData>
  <autoFilter ref="A2:I152"/>
  <mergeCells count="1">
    <mergeCell ref="A1:I1"/>
  </mergeCells>
  <conditionalFormatting sqref="H3:H152">
    <cfRule type="expression" priority="2" aboveAverage="0" equalAverage="0" bottom="0" percent="0" rank="0" text="" dxfId="6">
      <formula>AND($A3="Seçildi",H3="")</formula>
    </cfRule>
  </conditionalFormatting>
  <dataValidations count="1">
    <dataValidation allowBlank="true" errorStyle="warning" operator="between" prompt="Listeden seçin; dışarıdan geliyorsa adını doğrudan yazabilirsiniz." promptTitle="Öğretim Elemanı" showDropDown="false" showErrorMessage="false" showInputMessage="true" sqref="H3:H152" type="list">
      <formula1>'Öğretim Elemanları'!$C$4:$C$49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8"/>
    <pageSetUpPr fitToPage="true"/>
  </sheetPr>
  <dimension ref="A1:I1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40"/>
    <col collapsed="false" customWidth="true" hidden="false" outlineLevel="0" max="4" min="4" style="0" width="8"/>
    <col collapsed="false" customWidth="true" hidden="false" outlineLevel="0" max="5" min="5" style="0" width="9"/>
    <col collapsed="false" customWidth="true" hidden="false" outlineLevel="0" max="6" min="6" style="0" width="15"/>
    <col collapsed="false" customWidth="true" hidden="false" outlineLevel="0" max="7" min="7" style="0" width="9"/>
    <col collapsed="false" customWidth="true" hidden="false" outlineLevel="0" max="8" min="8" style="0" width="34"/>
    <col collapsed="false" customWidth="true" hidden="false" outlineLevel="0" max="9" min="9" style="0" width="24"/>
  </cols>
  <sheetData>
    <row r="1" customFormat="false" ht="30" hidden="false" customHeight="true" outlineLevel="0" collapsed="false">
      <c r="A1" s="23" t="s">
        <v>300</v>
      </c>
      <c r="B1" s="23"/>
      <c r="C1" s="23"/>
      <c r="D1" s="23"/>
      <c r="E1" s="23"/>
      <c r="F1" s="23"/>
      <c r="G1" s="23"/>
      <c r="H1" s="23"/>
      <c r="I1" s="23"/>
    </row>
    <row r="2" customFormat="false" ht="30" hidden="false" customHeight="true" outlineLevel="0" collapsed="false">
      <c r="A2" s="16" t="s">
        <v>298</v>
      </c>
      <c r="B2" s="16" t="s">
        <v>68</v>
      </c>
      <c r="C2" s="16" t="s">
        <v>69</v>
      </c>
      <c r="D2" s="16" t="s">
        <v>67</v>
      </c>
      <c r="E2" s="16" t="s">
        <v>66</v>
      </c>
      <c r="F2" s="16" t="s">
        <v>75</v>
      </c>
      <c r="G2" s="16" t="s">
        <v>73</v>
      </c>
      <c r="H2" s="16" t="s">
        <v>299</v>
      </c>
      <c r="I2" s="16" t="s">
        <v>301</v>
      </c>
    </row>
    <row r="3" customFormat="false" ht="15.75" hidden="false" customHeight="true" outlineLevel="0" collapsed="false">
      <c r="A3" s="17" t="str">
        <f aca="false">'1-Ders Havuzu'!K3</f>
        <v>Seçilmedi</v>
      </c>
      <c r="B3" s="17" t="str">
        <f aca="false">IF($A3="Seçildi",IF('1-Ders Havuzu'!C3="","",'1-Ders Havuzu'!C3),"")</f>
        <v/>
      </c>
      <c r="C3" s="24" t="str">
        <f aca="false">IF($A3="Seçildi",IF('1-Ders Havuzu'!D3="","",'1-Ders Havuzu'!D3),"")</f>
        <v/>
      </c>
      <c r="D3" s="17" t="str">
        <f aca="false">IF($A3="Seçildi",IF('1-Ders Havuzu'!B3="","",'1-Ders Havuzu'!B3),"")</f>
        <v/>
      </c>
      <c r="E3" s="17" t="str">
        <f aca="false">IF($A3="Seçildi",IF('1-Ders Havuzu'!A3="","",'1-Ders Havuzu'!A3),"")</f>
        <v/>
      </c>
      <c r="F3" s="17" t="str">
        <f aca="false">IF($A3="Seçildi",IF('1-Ders Havuzu'!J3="","",'1-Ders Havuzu'!J3),"")</f>
        <v/>
      </c>
      <c r="G3" s="17" t="str">
        <f aca="false">IF($A3="Seçildi",IF('1-Ders Havuzu'!H3="","",'1-Ders Havuzu'!H3),"")</f>
        <v/>
      </c>
      <c r="H3" s="24" t="str">
        <f aca="false">IF($A3="Seçildi",IF('2-Ders-Öğr.Elemanı Eşleştirme'!H3="","",'2-Ders-Öğr.Elemanı Eşleştirme'!H3),"")</f>
        <v/>
      </c>
      <c r="I3" s="17" t="str">
        <f aca="false">IF($A3&lt;&gt;"Seçildi","",IF($H3="","⚠ Öğretim Elemanı Eksik","✓ Tamam"))</f>
        <v/>
      </c>
    </row>
    <row r="4" customFormat="false" ht="15.75" hidden="false" customHeight="true" outlineLevel="0" collapsed="false">
      <c r="A4" s="19" t="str">
        <f aca="false">'1-Ders Havuzu'!K4</f>
        <v>Seçilmedi</v>
      </c>
      <c r="B4" s="19" t="str">
        <f aca="false">IF($A4="Seçildi",IF('1-Ders Havuzu'!C4="","",'1-Ders Havuzu'!C4),"")</f>
        <v/>
      </c>
      <c r="C4" s="26" t="str">
        <f aca="false">IF($A4="Seçildi",IF('1-Ders Havuzu'!D4="","",'1-Ders Havuzu'!D4),"")</f>
        <v/>
      </c>
      <c r="D4" s="19" t="str">
        <f aca="false">IF($A4="Seçildi",IF('1-Ders Havuzu'!B4="","",'1-Ders Havuzu'!B4),"")</f>
        <v/>
      </c>
      <c r="E4" s="19" t="str">
        <f aca="false">IF($A4="Seçildi",IF('1-Ders Havuzu'!A4="","",'1-Ders Havuzu'!A4),"")</f>
        <v/>
      </c>
      <c r="F4" s="19" t="str">
        <f aca="false">IF($A4="Seçildi",IF('1-Ders Havuzu'!J4="","",'1-Ders Havuzu'!J4),"")</f>
        <v/>
      </c>
      <c r="G4" s="19" t="str">
        <f aca="false">IF($A4="Seçildi",IF('1-Ders Havuzu'!H4="","",'1-Ders Havuzu'!H4),"")</f>
        <v/>
      </c>
      <c r="H4" s="26" t="str">
        <f aca="false">IF($A4="Seçildi",IF('2-Ders-Öğr.Elemanı Eşleştirme'!H4="","",'2-Ders-Öğr.Elemanı Eşleştirme'!H4),"")</f>
        <v/>
      </c>
      <c r="I4" s="19" t="str">
        <f aca="false">IF($A4&lt;&gt;"Seçildi","",IF($H4="","⚠ Öğretim Elemanı Eksik","✓ Tamam"))</f>
        <v/>
      </c>
    </row>
    <row r="5" customFormat="false" ht="15.75" hidden="false" customHeight="true" outlineLevel="0" collapsed="false">
      <c r="A5" s="17" t="str">
        <f aca="false">'1-Ders Havuzu'!K5</f>
        <v>Seçilmedi</v>
      </c>
      <c r="B5" s="17" t="str">
        <f aca="false">IF($A5="Seçildi",IF('1-Ders Havuzu'!C5="","",'1-Ders Havuzu'!C5),"")</f>
        <v/>
      </c>
      <c r="C5" s="24" t="str">
        <f aca="false">IF($A5="Seçildi",IF('1-Ders Havuzu'!D5="","",'1-Ders Havuzu'!D5),"")</f>
        <v/>
      </c>
      <c r="D5" s="17" t="str">
        <f aca="false">IF($A5="Seçildi",IF('1-Ders Havuzu'!B5="","",'1-Ders Havuzu'!B5),"")</f>
        <v/>
      </c>
      <c r="E5" s="17" t="str">
        <f aca="false">IF($A5="Seçildi",IF('1-Ders Havuzu'!A5="","",'1-Ders Havuzu'!A5),"")</f>
        <v/>
      </c>
      <c r="F5" s="17" t="str">
        <f aca="false">IF($A5="Seçildi",IF('1-Ders Havuzu'!J5="","",'1-Ders Havuzu'!J5),"")</f>
        <v/>
      </c>
      <c r="G5" s="17" t="str">
        <f aca="false">IF($A5="Seçildi",IF('1-Ders Havuzu'!H5="","",'1-Ders Havuzu'!H5),"")</f>
        <v/>
      </c>
      <c r="H5" s="24" t="str">
        <f aca="false">IF($A5="Seçildi",IF('2-Ders-Öğr.Elemanı Eşleştirme'!H5="","",'2-Ders-Öğr.Elemanı Eşleştirme'!H5),"")</f>
        <v/>
      </c>
      <c r="I5" s="17" t="str">
        <f aca="false">IF($A5&lt;&gt;"Seçildi","",IF($H5="","⚠ Öğretim Elemanı Eksik","✓ Tamam"))</f>
        <v/>
      </c>
    </row>
    <row r="6" customFormat="false" ht="15.75" hidden="false" customHeight="true" outlineLevel="0" collapsed="false">
      <c r="A6" s="19" t="str">
        <f aca="false">'1-Ders Havuzu'!K6</f>
        <v>Seçilmedi</v>
      </c>
      <c r="B6" s="19" t="str">
        <f aca="false">IF($A6="Seçildi",IF('1-Ders Havuzu'!C6="","",'1-Ders Havuzu'!C6),"")</f>
        <v/>
      </c>
      <c r="C6" s="26" t="str">
        <f aca="false">IF($A6="Seçildi",IF('1-Ders Havuzu'!D6="","",'1-Ders Havuzu'!D6),"")</f>
        <v/>
      </c>
      <c r="D6" s="19" t="str">
        <f aca="false">IF($A6="Seçildi",IF('1-Ders Havuzu'!B6="","",'1-Ders Havuzu'!B6),"")</f>
        <v/>
      </c>
      <c r="E6" s="19" t="str">
        <f aca="false">IF($A6="Seçildi",IF('1-Ders Havuzu'!A6="","",'1-Ders Havuzu'!A6),"")</f>
        <v/>
      </c>
      <c r="F6" s="19" t="str">
        <f aca="false">IF($A6="Seçildi",IF('1-Ders Havuzu'!J6="","",'1-Ders Havuzu'!J6),"")</f>
        <v/>
      </c>
      <c r="G6" s="19" t="str">
        <f aca="false">IF($A6="Seçildi",IF('1-Ders Havuzu'!H6="","",'1-Ders Havuzu'!H6),"")</f>
        <v/>
      </c>
      <c r="H6" s="26" t="str">
        <f aca="false">IF($A6="Seçildi",IF('2-Ders-Öğr.Elemanı Eşleştirme'!H6="","",'2-Ders-Öğr.Elemanı Eşleştirme'!H6),"")</f>
        <v/>
      </c>
      <c r="I6" s="19" t="str">
        <f aca="false">IF($A6&lt;&gt;"Seçildi","",IF($H6="","⚠ Öğretim Elemanı Eksik","✓ Tamam"))</f>
        <v/>
      </c>
    </row>
    <row r="7" customFormat="false" ht="15.75" hidden="false" customHeight="true" outlineLevel="0" collapsed="false">
      <c r="A7" s="17" t="str">
        <f aca="false">'1-Ders Havuzu'!K7</f>
        <v>Seçilmedi</v>
      </c>
      <c r="B7" s="17" t="str">
        <f aca="false">IF($A7="Seçildi",IF('1-Ders Havuzu'!C7="","",'1-Ders Havuzu'!C7),"")</f>
        <v/>
      </c>
      <c r="C7" s="24" t="str">
        <f aca="false">IF($A7="Seçildi",IF('1-Ders Havuzu'!D7="","",'1-Ders Havuzu'!D7),"")</f>
        <v/>
      </c>
      <c r="D7" s="17" t="str">
        <f aca="false">IF($A7="Seçildi",IF('1-Ders Havuzu'!B7="","",'1-Ders Havuzu'!B7),"")</f>
        <v/>
      </c>
      <c r="E7" s="17" t="str">
        <f aca="false">IF($A7="Seçildi",IF('1-Ders Havuzu'!A7="","",'1-Ders Havuzu'!A7),"")</f>
        <v/>
      </c>
      <c r="F7" s="17" t="str">
        <f aca="false">IF($A7="Seçildi",IF('1-Ders Havuzu'!J7="","",'1-Ders Havuzu'!J7),"")</f>
        <v/>
      </c>
      <c r="G7" s="17" t="str">
        <f aca="false">IF($A7="Seçildi",IF('1-Ders Havuzu'!H7="","",'1-Ders Havuzu'!H7),"")</f>
        <v/>
      </c>
      <c r="H7" s="24" t="str">
        <f aca="false">IF($A7="Seçildi",IF('2-Ders-Öğr.Elemanı Eşleştirme'!H7="","",'2-Ders-Öğr.Elemanı Eşleştirme'!H7),"")</f>
        <v/>
      </c>
      <c r="I7" s="17" t="str">
        <f aca="false">IF($A7&lt;&gt;"Seçildi","",IF($H7="","⚠ Öğretim Elemanı Eksik","✓ Tamam"))</f>
        <v/>
      </c>
    </row>
    <row r="8" customFormat="false" ht="15.75" hidden="false" customHeight="true" outlineLevel="0" collapsed="false">
      <c r="A8" s="19" t="str">
        <f aca="false">'1-Ders Havuzu'!K8</f>
        <v>Seçilmedi</v>
      </c>
      <c r="B8" s="19" t="str">
        <f aca="false">IF($A8="Seçildi",IF('1-Ders Havuzu'!C8="","",'1-Ders Havuzu'!C8),"")</f>
        <v/>
      </c>
      <c r="C8" s="26" t="str">
        <f aca="false">IF($A8="Seçildi",IF('1-Ders Havuzu'!D8="","",'1-Ders Havuzu'!D8),"")</f>
        <v/>
      </c>
      <c r="D8" s="19" t="str">
        <f aca="false">IF($A8="Seçildi",IF('1-Ders Havuzu'!B8="","",'1-Ders Havuzu'!B8),"")</f>
        <v/>
      </c>
      <c r="E8" s="19" t="str">
        <f aca="false">IF($A8="Seçildi",IF('1-Ders Havuzu'!A8="","",'1-Ders Havuzu'!A8),"")</f>
        <v/>
      </c>
      <c r="F8" s="19" t="str">
        <f aca="false">IF($A8="Seçildi",IF('1-Ders Havuzu'!J8="","",'1-Ders Havuzu'!J8),"")</f>
        <v/>
      </c>
      <c r="G8" s="19" t="str">
        <f aca="false">IF($A8="Seçildi",IF('1-Ders Havuzu'!H8="","",'1-Ders Havuzu'!H8),"")</f>
        <v/>
      </c>
      <c r="H8" s="26" t="str">
        <f aca="false">IF($A8="Seçildi",IF('2-Ders-Öğr.Elemanı Eşleştirme'!H8="","",'2-Ders-Öğr.Elemanı Eşleştirme'!H8),"")</f>
        <v/>
      </c>
      <c r="I8" s="19" t="str">
        <f aca="false">IF($A8&lt;&gt;"Seçildi","",IF($H8="","⚠ Öğretim Elemanı Eksik","✓ Tamam"))</f>
        <v/>
      </c>
    </row>
    <row r="9" customFormat="false" ht="15.75" hidden="false" customHeight="true" outlineLevel="0" collapsed="false">
      <c r="A9" s="17" t="str">
        <f aca="false">'1-Ders Havuzu'!K9</f>
        <v>Seçilmedi</v>
      </c>
      <c r="B9" s="17" t="str">
        <f aca="false">IF($A9="Seçildi",IF('1-Ders Havuzu'!C9="","",'1-Ders Havuzu'!C9),"")</f>
        <v/>
      </c>
      <c r="C9" s="24" t="str">
        <f aca="false">IF($A9="Seçildi",IF('1-Ders Havuzu'!D9="","",'1-Ders Havuzu'!D9),"")</f>
        <v/>
      </c>
      <c r="D9" s="17" t="str">
        <f aca="false">IF($A9="Seçildi",IF('1-Ders Havuzu'!B9="","",'1-Ders Havuzu'!B9),"")</f>
        <v/>
      </c>
      <c r="E9" s="17" t="str">
        <f aca="false">IF($A9="Seçildi",IF('1-Ders Havuzu'!A9="","",'1-Ders Havuzu'!A9),"")</f>
        <v/>
      </c>
      <c r="F9" s="17" t="str">
        <f aca="false">IF($A9="Seçildi",IF('1-Ders Havuzu'!J9="","",'1-Ders Havuzu'!J9),"")</f>
        <v/>
      </c>
      <c r="G9" s="17" t="str">
        <f aca="false">IF($A9="Seçildi",IF('1-Ders Havuzu'!H9="","",'1-Ders Havuzu'!H9),"")</f>
        <v/>
      </c>
      <c r="H9" s="24" t="str">
        <f aca="false">IF($A9="Seçildi",IF('2-Ders-Öğr.Elemanı Eşleştirme'!H9="","",'2-Ders-Öğr.Elemanı Eşleştirme'!H9),"")</f>
        <v/>
      </c>
      <c r="I9" s="17" t="str">
        <f aca="false">IF($A9&lt;&gt;"Seçildi","",IF($H9="","⚠ Öğretim Elemanı Eksik","✓ Tamam"))</f>
        <v/>
      </c>
    </row>
    <row r="10" customFormat="false" ht="15.75" hidden="false" customHeight="true" outlineLevel="0" collapsed="false">
      <c r="A10" s="19" t="str">
        <f aca="false">'1-Ders Havuzu'!K10</f>
        <v>Seçilmedi</v>
      </c>
      <c r="B10" s="19" t="str">
        <f aca="false">IF($A10="Seçildi",IF('1-Ders Havuzu'!C10="","",'1-Ders Havuzu'!C10),"")</f>
        <v/>
      </c>
      <c r="C10" s="26" t="str">
        <f aca="false">IF($A10="Seçildi",IF('1-Ders Havuzu'!D10="","",'1-Ders Havuzu'!D10),"")</f>
        <v/>
      </c>
      <c r="D10" s="19" t="str">
        <f aca="false">IF($A10="Seçildi",IF('1-Ders Havuzu'!B10="","",'1-Ders Havuzu'!B10),"")</f>
        <v/>
      </c>
      <c r="E10" s="19" t="str">
        <f aca="false">IF($A10="Seçildi",IF('1-Ders Havuzu'!A10="","",'1-Ders Havuzu'!A10),"")</f>
        <v/>
      </c>
      <c r="F10" s="19" t="str">
        <f aca="false">IF($A10="Seçildi",IF('1-Ders Havuzu'!J10="","",'1-Ders Havuzu'!J10),"")</f>
        <v/>
      </c>
      <c r="G10" s="19" t="str">
        <f aca="false">IF($A10="Seçildi",IF('1-Ders Havuzu'!H10="","",'1-Ders Havuzu'!H10),"")</f>
        <v/>
      </c>
      <c r="H10" s="26" t="str">
        <f aca="false">IF($A10="Seçildi",IF('2-Ders-Öğr.Elemanı Eşleştirme'!H10="","",'2-Ders-Öğr.Elemanı Eşleştirme'!H10),"")</f>
        <v/>
      </c>
      <c r="I10" s="19" t="str">
        <f aca="false">IF($A10&lt;&gt;"Seçildi","",IF($H10="","⚠ Öğretim Elemanı Eksik","✓ Tamam"))</f>
        <v/>
      </c>
    </row>
    <row r="11" customFormat="false" ht="15.75" hidden="false" customHeight="true" outlineLevel="0" collapsed="false">
      <c r="A11" s="17" t="str">
        <f aca="false">'1-Ders Havuzu'!K11</f>
        <v>Seçilmedi</v>
      </c>
      <c r="B11" s="17" t="str">
        <f aca="false">IF($A11="Seçildi",IF('1-Ders Havuzu'!C11="","",'1-Ders Havuzu'!C11),"")</f>
        <v/>
      </c>
      <c r="C11" s="24" t="str">
        <f aca="false">IF($A11="Seçildi",IF('1-Ders Havuzu'!D11="","",'1-Ders Havuzu'!D11),"")</f>
        <v/>
      </c>
      <c r="D11" s="17" t="str">
        <f aca="false">IF($A11="Seçildi",IF('1-Ders Havuzu'!B11="","",'1-Ders Havuzu'!B11),"")</f>
        <v/>
      </c>
      <c r="E11" s="17" t="str">
        <f aca="false">IF($A11="Seçildi",IF('1-Ders Havuzu'!A11="","",'1-Ders Havuzu'!A11),"")</f>
        <v/>
      </c>
      <c r="F11" s="17" t="str">
        <f aca="false">IF($A11="Seçildi",IF('1-Ders Havuzu'!J11="","",'1-Ders Havuzu'!J11),"")</f>
        <v/>
      </c>
      <c r="G11" s="17" t="str">
        <f aca="false">IF($A11="Seçildi",IF('1-Ders Havuzu'!H11="","",'1-Ders Havuzu'!H11),"")</f>
        <v/>
      </c>
      <c r="H11" s="24" t="str">
        <f aca="false">IF($A11="Seçildi",IF('2-Ders-Öğr.Elemanı Eşleştirme'!H11="","",'2-Ders-Öğr.Elemanı Eşleştirme'!H11),"")</f>
        <v/>
      </c>
      <c r="I11" s="17" t="str">
        <f aca="false">IF($A11&lt;&gt;"Seçildi","",IF($H11="","⚠ Öğretim Elemanı Eksik","✓ Tamam"))</f>
        <v/>
      </c>
    </row>
    <row r="12" customFormat="false" ht="15.75" hidden="false" customHeight="true" outlineLevel="0" collapsed="false">
      <c r="A12" s="19" t="str">
        <f aca="false">'1-Ders Havuzu'!K12</f>
        <v>Seçilmedi</v>
      </c>
      <c r="B12" s="19" t="str">
        <f aca="false">IF($A12="Seçildi",IF('1-Ders Havuzu'!C12="","",'1-Ders Havuzu'!C12),"")</f>
        <v/>
      </c>
      <c r="C12" s="26" t="str">
        <f aca="false">IF($A12="Seçildi",IF('1-Ders Havuzu'!D12="","",'1-Ders Havuzu'!D12),"")</f>
        <v/>
      </c>
      <c r="D12" s="19" t="str">
        <f aca="false">IF($A12="Seçildi",IF('1-Ders Havuzu'!B12="","",'1-Ders Havuzu'!B12),"")</f>
        <v/>
      </c>
      <c r="E12" s="19" t="str">
        <f aca="false">IF($A12="Seçildi",IF('1-Ders Havuzu'!A12="","",'1-Ders Havuzu'!A12),"")</f>
        <v/>
      </c>
      <c r="F12" s="19" t="str">
        <f aca="false">IF($A12="Seçildi",IF('1-Ders Havuzu'!J12="","",'1-Ders Havuzu'!J12),"")</f>
        <v/>
      </c>
      <c r="G12" s="19" t="str">
        <f aca="false">IF($A12="Seçildi",IF('1-Ders Havuzu'!H12="","",'1-Ders Havuzu'!H12),"")</f>
        <v/>
      </c>
      <c r="H12" s="26" t="str">
        <f aca="false">IF($A12="Seçildi",IF('2-Ders-Öğr.Elemanı Eşleştirme'!H12="","",'2-Ders-Öğr.Elemanı Eşleştirme'!H12),"")</f>
        <v/>
      </c>
      <c r="I12" s="19" t="str">
        <f aca="false">IF($A12&lt;&gt;"Seçildi","",IF($H12="","⚠ Öğretim Elemanı Eksik","✓ Tamam"))</f>
        <v/>
      </c>
    </row>
    <row r="13" customFormat="false" ht="15.75" hidden="false" customHeight="true" outlineLevel="0" collapsed="false">
      <c r="A13" s="17" t="str">
        <f aca="false">'1-Ders Havuzu'!K13</f>
        <v>Seçilmedi</v>
      </c>
      <c r="B13" s="17" t="str">
        <f aca="false">IF($A13="Seçildi",IF('1-Ders Havuzu'!C13="","",'1-Ders Havuzu'!C13),"")</f>
        <v/>
      </c>
      <c r="C13" s="24" t="str">
        <f aca="false">IF($A13="Seçildi",IF('1-Ders Havuzu'!D13="","",'1-Ders Havuzu'!D13),"")</f>
        <v/>
      </c>
      <c r="D13" s="17" t="str">
        <f aca="false">IF($A13="Seçildi",IF('1-Ders Havuzu'!B13="","",'1-Ders Havuzu'!B13),"")</f>
        <v/>
      </c>
      <c r="E13" s="17" t="str">
        <f aca="false">IF($A13="Seçildi",IF('1-Ders Havuzu'!A13="","",'1-Ders Havuzu'!A13),"")</f>
        <v/>
      </c>
      <c r="F13" s="17" t="str">
        <f aca="false">IF($A13="Seçildi",IF('1-Ders Havuzu'!J13="","",'1-Ders Havuzu'!J13),"")</f>
        <v/>
      </c>
      <c r="G13" s="17" t="str">
        <f aca="false">IF($A13="Seçildi",IF('1-Ders Havuzu'!H13="","",'1-Ders Havuzu'!H13),"")</f>
        <v/>
      </c>
      <c r="H13" s="24" t="str">
        <f aca="false">IF($A13="Seçildi",IF('2-Ders-Öğr.Elemanı Eşleştirme'!H13="","",'2-Ders-Öğr.Elemanı Eşleştirme'!H13),"")</f>
        <v/>
      </c>
      <c r="I13" s="17" t="str">
        <f aca="false">IF($A13&lt;&gt;"Seçildi","",IF($H13="","⚠ Öğretim Elemanı Eksik","✓ Tamam"))</f>
        <v/>
      </c>
    </row>
    <row r="14" customFormat="false" ht="15.75" hidden="false" customHeight="true" outlineLevel="0" collapsed="false">
      <c r="A14" s="19" t="str">
        <f aca="false">'1-Ders Havuzu'!K14</f>
        <v>Seçilmedi</v>
      </c>
      <c r="B14" s="19" t="str">
        <f aca="false">IF($A14="Seçildi",IF('1-Ders Havuzu'!C14="","",'1-Ders Havuzu'!C14),"")</f>
        <v/>
      </c>
      <c r="C14" s="26" t="str">
        <f aca="false">IF($A14="Seçildi",IF('1-Ders Havuzu'!D14="","",'1-Ders Havuzu'!D14),"")</f>
        <v/>
      </c>
      <c r="D14" s="19" t="str">
        <f aca="false">IF($A14="Seçildi",IF('1-Ders Havuzu'!B14="","",'1-Ders Havuzu'!B14),"")</f>
        <v/>
      </c>
      <c r="E14" s="19" t="str">
        <f aca="false">IF($A14="Seçildi",IF('1-Ders Havuzu'!A14="","",'1-Ders Havuzu'!A14),"")</f>
        <v/>
      </c>
      <c r="F14" s="19" t="str">
        <f aca="false">IF($A14="Seçildi",IF('1-Ders Havuzu'!J14="","",'1-Ders Havuzu'!J14),"")</f>
        <v/>
      </c>
      <c r="G14" s="19" t="str">
        <f aca="false">IF($A14="Seçildi",IF('1-Ders Havuzu'!H14="","",'1-Ders Havuzu'!H14),"")</f>
        <v/>
      </c>
      <c r="H14" s="26" t="str">
        <f aca="false">IF($A14="Seçildi",IF('2-Ders-Öğr.Elemanı Eşleştirme'!H14="","",'2-Ders-Öğr.Elemanı Eşleştirme'!H14),"")</f>
        <v/>
      </c>
      <c r="I14" s="19" t="str">
        <f aca="false">IF($A14&lt;&gt;"Seçildi","",IF($H14="","⚠ Öğretim Elemanı Eksik","✓ Tamam"))</f>
        <v/>
      </c>
    </row>
    <row r="15" customFormat="false" ht="15.75" hidden="false" customHeight="true" outlineLevel="0" collapsed="false">
      <c r="A15" s="17" t="str">
        <f aca="false">'1-Ders Havuzu'!K15</f>
        <v>Seçilmedi</v>
      </c>
      <c r="B15" s="17" t="str">
        <f aca="false">IF($A15="Seçildi",IF('1-Ders Havuzu'!C15="","",'1-Ders Havuzu'!C15),"")</f>
        <v/>
      </c>
      <c r="C15" s="24" t="str">
        <f aca="false">IF($A15="Seçildi",IF('1-Ders Havuzu'!D15="","",'1-Ders Havuzu'!D15),"")</f>
        <v/>
      </c>
      <c r="D15" s="17" t="str">
        <f aca="false">IF($A15="Seçildi",IF('1-Ders Havuzu'!B15="","",'1-Ders Havuzu'!B15),"")</f>
        <v/>
      </c>
      <c r="E15" s="17" t="str">
        <f aca="false">IF($A15="Seçildi",IF('1-Ders Havuzu'!A15="","",'1-Ders Havuzu'!A15),"")</f>
        <v/>
      </c>
      <c r="F15" s="17" t="str">
        <f aca="false">IF($A15="Seçildi",IF('1-Ders Havuzu'!J15="","",'1-Ders Havuzu'!J15),"")</f>
        <v/>
      </c>
      <c r="G15" s="17" t="str">
        <f aca="false">IF($A15="Seçildi",IF('1-Ders Havuzu'!H15="","",'1-Ders Havuzu'!H15),"")</f>
        <v/>
      </c>
      <c r="H15" s="24" t="str">
        <f aca="false">IF($A15="Seçildi",IF('2-Ders-Öğr.Elemanı Eşleştirme'!H15="","",'2-Ders-Öğr.Elemanı Eşleştirme'!H15),"")</f>
        <v/>
      </c>
      <c r="I15" s="17" t="str">
        <f aca="false">IF($A15&lt;&gt;"Seçildi","",IF($H15="","⚠ Öğretim Elemanı Eksik","✓ Tamam"))</f>
        <v/>
      </c>
    </row>
    <row r="16" customFormat="false" ht="15.75" hidden="false" customHeight="true" outlineLevel="0" collapsed="false">
      <c r="A16" s="19" t="str">
        <f aca="false">'1-Ders Havuzu'!K16</f>
        <v>Seçilmedi</v>
      </c>
      <c r="B16" s="19" t="str">
        <f aca="false">IF($A16="Seçildi",IF('1-Ders Havuzu'!C16="","",'1-Ders Havuzu'!C16),"")</f>
        <v/>
      </c>
      <c r="C16" s="26" t="str">
        <f aca="false">IF($A16="Seçildi",IF('1-Ders Havuzu'!D16="","",'1-Ders Havuzu'!D16),"")</f>
        <v/>
      </c>
      <c r="D16" s="19" t="str">
        <f aca="false">IF($A16="Seçildi",IF('1-Ders Havuzu'!B16="","",'1-Ders Havuzu'!B16),"")</f>
        <v/>
      </c>
      <c r="E16" s="19" t="str">
        <f aca="false">IF($A16="Seçildi",IF('1-Ders Havuzu'!A16="","",'1-Ders Havuzu'!A16),"")</f>
        <v/>
      </c>
      <c r="F16" s="19" t="str">
        <f aca="false">IF($A16="Seçildi",IF('1-Ders Havuzu'!J16="","",'1-Ders Havuzu'!J16),"")</f>
        <v/>
      </c>
      <c r="G16" s="19" t="str">
        <f aca="false">IF($A16="Seçildi",IF('1-Ders Havuzu'!H16="","",'1-Ders Havuzu'!H16),"")</f>
        <v/>
      </c>
      <c r="H16" s="26" t="str">
        <f aca="false">IF($A16="Seçildi",IF('2-Ders-Öğr.Elemanı Eşleştirme'!H16="","",'2-Ders-Öğr.Elemanı Eşleştirme'!H16),"")</f>
        <v/>
      </c>
      <c r="I16" s="19" t="str">
        <f aca="false">IF($A16&lt;&gt;"Seçildi","",IF($H16="","⚠ Öğretim Elemanı Eksik","✓ Tamam"))</f>
        <v/>
      </c>
    </row>
    <row r="17" customFormat="false" ht="15.75" hidden="false" customHeight="true" outlineLevel="0" collapsed="false">
      <c r="A17" s="17" t="str">
        <f aca="false">'1-Ders Havuzu'!K17</f>
        <v>Seçilmedi</v>
      </c>
      <c r="B17" s="17" t="str">
        <f aca="false">IF($A17="Seçildi",IF('1-Ders Havuzu'!C17="","",'1-Ders Havuzu'!C17),"")</f>
        <v/>
      </c>
      <c r="C17" s="24" t="str">
        <f aca="false">IF($A17="Seçildi",IF('1-Ders Havuzu'!D17="","",'1-Ders Havuzu'!D17),"")</f>
        <v/>
      </c>
      <c r="D17" s="17" t="str">
        <f aca="false">IF($A17="Seçildi",IF('1-Ders Havuzu'!B17="","",'1-Ders Havuzu'!B17),"")</f>
        <v/>
      </c>
      <c r="E17" s="17" t="str">
        <f aca="false">IF($A17="Seçildi",IF('1-Ders Havuzu'!A17="","",'1-Ders Havuzu'!A17),"")</f>
        <v/>
      </c>
      <c r="F17" s="17" t="str">
        <f aca="false">IF($A17="Seçildi",IF('1-Ders Havuzu'!J17="","",'1-Ders Havuzu'!J17),"")</f>
        <v/>
      </c>
      <c r="G17" s="17" t="str">
        <f aca="false">IF($A17="Seçildi",IF('1-Ders Havuzu'!H17="","",'1-Ders Havuzu'!H17),"")</f>
        <v/>
      </c>
      <c r="H17" s="24" t="str">
        <f aca="false">IF($A17="Seçildi",IF('2-Ders-Öğr.Elemanı Eşleştirme'!H17="","",'2-Ders-Öğr.Elemanı Eşleştirme'!H17),"")</f>
        <v/>
      </c>
      <c r="I17" s="17" t="str">
        <f aca="false">IF($A17&lt;&gt;"Seçildi","",IF($H17="","⚠ Öğretim Elemanı Eksik","✓ Tamam"))</f>
        <v/>
      </c>
    </row>
    <row r="18" customFormat="false" ht="15.75" hidden="false" customHeight="true" outlineLevel="0" collapsed="false">
      <c r="A18" s="19" t="str">
        <f aca="false">'1-Ders Havuzu'!K18</f>
        <v>Seçilmedi</v>
      </c>
      <c r="B18" s="19" t="str">
        <f aca="false">IF($A18="Seçildi",IF('1-Ders Havuzu'!C18="","",'1-Ders Havuzu'!C18),"")</f>
        <v/>
      </c>
      <c r="C18" s="26" t="str">
        <f aca="false">IF($A18="Seçildi",IF('1-Ders Havuzu'!D18="","",'1-Ders Havuzu'!D18),"")</f>
        <v/>
      </c>
      <c r="D18" s="19" t="str">
        <f aca="false">IF($A18="Seçildi",IF('1-Ders Havuzu'!B18="","",'1-Ders Havuzu'!B18),"")</f>
        <v/>
      </c>
      <c r="E18" s="19" t="str">
        <f aca="false">IF($A18="Seçildi",IF('1-Ders Havuzu'!A18="","",'1-Ders Havuzu'!A18),"")</f>
        <v/>
      </c>
      <c r="F18" s="19" t="str">
        <f aca="false">IF($A18="Seçildi",IF('1-Ders Havuzu'!J18="","",'1-Ders Havuzu'!J18),"")</f>
        <v/>
      </c>
      <c r="G18" s="19" t="str">
        <f aca="false">IF($A18="Seçildi",IF('1-Ders Havuzu'!H18="","",'1-Ders Havuzu'!H18),"")</f>
        <v/>
      </c>
      <c r="H18" s="26" t="str">
        <f aca="false">IF($A18="Seçildi",IF('2-Ders-Öğr.Elemanı Eşleştirme'!H18="","",'2-Ders-Öğr.Elemanı Eşleştirme'!H18),"")</f>
        <v/>
      </c>
      <c r="I18" s="19" t="str">
        <f aca="false">IF($A18&lt;&gt;"Seçildi","",IF($H18="","⚠ Öğretim Elemanı Eksik","✓ Tamam"))</f>
        <v/>
      </c>
    </row>
    <row r="19" customFormat="false" ht="15.75" hidden="false" customHeight="true" outlineLevel="0" collapsed="false">
      <c r="A19" s="17" t="str">
        <f aca="false">'1-Ders Havuzu'!K19</f>
        <v>Seçilmedi</v>
      </c>
      <c r="B19" s="17" t="str">
        <f aca="false">IF($A19="Seçildi",IF('1-Ders Havuzu'!C19="","",'1-Ders Havuzu'!C19),"")</f>
        <v/>
      </c>
      <c r="C19" s="24" t="str">
        <f aca="false">IF($A19="Seçildi",IF('1-Ders Havuzu'!D19="","",'1-Ders Havuzu'!D19),"")</f>
        <v/>
      </c>
      <c r="D19" s="17" t="str">
        <f aca="false">IF($A19="Seçildi",IF('1-Ders Havuzu'!B19="","",'1-Ders Havuzu'!B19),"")</f>
        <v/>
      </c>
      <c r="E19" s="17" t="str">
        <f aca="false">IF($A19="Seçildi",IF('1-Ders Havuzu'!A19="","",'1-Ders Havuzu'!A19),"")</f>
        <v/>
      </c>
      <c r="F19" s="17" t="str">
        <f aca="false">IF($A19="Seçildi",IF('1-Ders Havuzu'!J19="","",'1-Ders Havuzu'!J19),"")</f>
        <v/>
      </c>
      <c r="G19" s="17" t="str">
        <f aca="false">IF($A19="Seçildi",IF('1-Ders Havuzu'!H19="","",'1-Ders Havuzu'!H19),"")</f>
        <v/>
      </c>
      <c r="H19" s="24" t="str">
        <f aca="false">IF($A19="Seçildi",IF('2-Ders-Öğr.Elemanı Eşleştirme'!H19="","",'2-Ders-Öğr.Elemanı Eşleştirme'!H19),"")</f>
        <v/>
      </c>
      <c r="I19" s="17" t="str">
        <f aca="false">IF($A19&lt;&gt;"Seçildi","",IF($H19="","⚠ Öğretim Elemanı Eksik","✓ Tamam"))</f>
        <v/>
      </c>
    </row>
    <row r="20" customFormat="false" ht="15.75" hidden="false" customHeight="true" outlineLevel="0" collapsed="false">
      <c r="A20" s="19" t="str">
        <f aca="false">'1-Ders Havuzu'!K20</f>
        <v>Seçilmedi</v>
      </c>
      <c r="B20" s="19" t="str">
        <f aca="false">IF($A20="Seçildi",IF('1-Ders Havuzu'!C20="","",'1-Ders Havuzu'!C20),"")</f>
        <v/>
      </c>
      <c r="C20" s="26" t="str">
        <f aca="false">IF($A20="Seçildi",IF('1-Ders Havuzu'!D20="","",'1-Ders Havuzu'!D20),"")</f>
        <v/>
      </c>
      <c r="D20" s="19" t="str">
        <f aca="false">IF($A20="Seçildi",IF('1-Ders Havuzu'!B20="","",'1-Ders Havuzu'!B20),"")</f>
        <v/>
      </c>
      <c r="E20" s="19" t="str">
        <f aca="false">IF($A20="Seçildi",IF('1-Ders Havuzu'!A20="","",'1-Ders Havuzu'!A20),"")</f>
        <v/>
      </c>
      <c r="F20" s="19" t="str">
        <f aca="false">IF($A20="Seçildi",IF('1-Ders Havuzu'!J20="","",'1-Ders Havuzu'!J20),"")</f>
        <v/>
      </c>
      <c r="G20" s="19" t="str">
        <f aca="false">IF($A20="Seçildi",IF('1-Ders Havuzu'!H20="","",'1-Ders Havuzu'!H20),"")</f>
        <v/>
      </c>
      <c r="H20" s="26" t="str">
        <f aca="false">IF($A20="Seçildi",IF('2-Ders-Öğr.Elemanı Eşleştirme'!H20="","",'2-Ders-Öğr.Elemanı Eşleştirme'!H20),"")</f>
        <v/>
      </c>
      <c r="I20" s="19" t="str">
        <f aca="false">IF($A20&lt;&gt;"Seçildi","",IF($H20="","⚠ Öğretim Elemanı Eksik","✓ Tamam"))</f>
        <v/>
      </c>
    </row>
    <row r="21" customFormat="false" ht="15.75" hidden="false" customHeight="true" outlineLevel="0" collapsed="false">
      <c r="A21" s="17" t="str">
        <f aca="false">'1-Ders Havuzu'!K21</f>
        <v>Seçilmedi</v>
      </c>
      <c r="B21" s="17" t="str">
        <f aca="false">IF($A21="Seçildi",IF('1-Ders Havuzu'!C21="","",'1-Ders Havuzu'!C21),"")</f>
        <v/>
      </c>
      <c r="C21" s="24" t="str">
        <f aca="false">IF($A21="Seçildi",IF('1-Ders Havuzu'!D21="","",'1-Ders Havuzu'!D21),"")</f>
        <v/>
      </c>
      <c r="D21" s="17" t="str">
        <f aca="false">IF($A21="Seçildi",IF('1-Ders Havuzu'!B21="","",'1-Ders Havuzu'!B21),"")</f>
        <v/>
      </c>
      <c r="E21" s="17" t="str">
        <f aca="false">IF($A21="Seçildi",IF('1-Ders Havuzu'!A21="","",'1-Ders Havuzu'!A21),"")</f>
        <v/>
      </c>
      <c r="F21" s="17" t="str">
        <f aca="false">IF($A21="Seçildi",IF('1-Ders Havuzu'!J21="","",'1-Ders Havuzu'!J21),"")</f>
        <v/>
      </c>
      <c r="G21" s="17" t="str">
        <f aca="false">IF($A21="Seçildi",IF('1-Ders Havuzu'!H21="","",'1-Ders Havuzu'!H21),"")</f>
        <v/>
      </c>
      <c r="H21" s="24" t="str">
        <f aca="false">IF($A21="Seçildi",IF('2-Ders-Öğr.Elemanı Eşleştirme'!H21="","",'2-Ders-Öğr.Elemanı Eşleştirme'!H21),"")</f>
        <v/>
      </c>
      <c r="I21" s="17" t="str">
        <f aca="false">IF($A21&lt;&gt;"Seçildi","",IF($H21="","⚠ Öğretim Elemanı Eksik","✓ Tamam"))</f>
        <v/>
      </c>
    </row>
    <row r="22" customFormat="false" ht="15.75" hidden="false" customHeight="true" outlineLevel="0" collapsed="false">
      <c r="A22" s="19" t="str">
        <f aca="false">'1-Ders Havuzu'!K22</f>
        <v>Seçilmedi</v>
      </c>
      <c r="B22" s="19" t="str">
        <f aca="false">IF($A22="Seçildi",IF('1-Ders Havuzu'!C22="","",'1-Ders Havuzu'!C22),"")</f>
        <v/>
      </c>
      <c r="C22" s="26" t="str">
        <f aca="false">IF($A22="Seçildi",IF('1-Ders Havuzu'!D22="","",'1-Ders Havuzu'!D22),"")</f>
        <v/>
      </c>
      <c r="D22" s="19" t="str">
        <f aca="false">IF($A22="Seçildi",IF('1-Ders Havuzu'!B22="","",'1-Ders Havuzu'!B22),"")</f>
        <v/>
      </c>
      <c r="E22" s="19" t="str">
        <f aca="false">IF($A22="Seçildi",IF('1-Ders Havuzu'!A22="","",'1-Ders Havuzu'!A22),"")</f>
        <v/>
      </c>
      <c r="F22" s="19" t="str">
        <f aca="false">IF($A22="Seçildi",IF('1-Ders Havuzu'!J22="","",'1-Ders Havuzu'!J22),"")</f>
        <v/>
      </c>
      <c r="G22" s="19" t="str">
        <f aca="false">IF($A22="Seçildi",IF('1-Ders Havuzu'!H22="","",'1-Ders Havuzu'!H22),"")</f>
        <v/>
      </c>
      <c r="H22" s="26" t="str">
        <f aca="false">IF($A22="Seçildi",IF('2-Ders-Öğr.Elemanı Eşleştirme'!H22="","",'2-Ders-Öğr.Elemanı Eşleştirme'!H22),"")</f>
        <v/>
      </c>
      <c r="I22" s="19" t="str">
        <f aca="false">IF($A22&lt;&gt;"Seçildi","",IF($H22="","⚠ Öğretim Elemanı Eksik","✓ Tamam"))</f>
        <v/>
      </c>
    </row>
    <row r="23" customFormat="false" ht="15.75" hidden="false" customHeight="true" outlineLevel="0" collapsed="false">
      <c r="A23" s="17" t="str">
        <f aca="false">'1-Ders Havuzu'!K23</f>
        <v>Seçilmedi</v>
      </c>
      <c r="B23" s="17" t="str">
        <f aca="false">IF($A23="Seçildi",IF('1-Ders Havuzu'!C23="","",'1-Ders Havuzu'!C23),"")</f>
        <v/>
      </c>
      <c r="C23" s="24" t="str">
        <f aca="false">IF($A23="Seçildi",IF('1-Ders Havuzu'!D23="","",'1-Ders Havuzu'!D23),"")</f>
        <v/>
      </c>
      <c r="D23" s="17" t="str">
        <f aca="false">IF($A23="Seçildi",IF('1-Ders Havuzu'!B23="","",'1-Ders Havuzu'!B23),"")</f>
        <v/>
      </c>
      <c r="E23" s="17" t="str">
        <f aca="false">IF($A23="Seçildi",IF('1-Ders Havuzu'!A23="","",'1-Ders Havuzu'!A23),"")</f>
        <v/>
      </c>
      <c r="F23" s="17" t="str">
        <f aca="false">IF($A23="Seçildi",IF('1-Ders Havuzu'!J23="","",'1-Ders Havuzu'!J23),"")</f>
        <v/>
      </c>
      <c r="G23" s="17" t="str">
        <f aca="false">IF($A23="Seçildi",IF('1-Ders Havuzu'!H23="","",'1-Ders Havuzu'!H23),"")</f>
        <v/>
      </c>
      <c r="H23" s="24" t="str">
        <f aca="false">IF($A23="Seçildi",IF('2-Ders-Öğr.Elemanı Eşleştirme'!H23="","",'2-Ders-Öğr.Elemanı Eşleştirme'!H23),"")</f>
        <v/>
      </c>
      <c r="I23" s="17" t="str">
        <f aca="false">IF($A23&lt;&gt;"Seçildi","",IF($H23="","⚠ Öğretim Elemanı Eksik","✓ Tamam"))</f>
        <v/>
      </c>
    </row>
    <row r="24" customFormat="false" ht="15.75" hidden="false" customHeight="true" outlineLevel="0" collapsed="false">
      <c r="A24" s="19" t="str">
        <f aca="false">'1-Ders Havuzu'!K24</f>
        <v>Seçilmedi</v>
      </c>
      <c r="B24" s="19" t="str">
        <f aca="false">IF($A24="Seçildi",IF('1-Ders Havuzu'!C24="","",'1-Ders Havuzu'!C24),"")</f>
        <v/>
      </c>
      <c r="C24" s="26" t="str">
        <f aca="false">IF($A24="Seçildi",IF('1-Ders Havuzu'!D24="","",'1-Ders Havuzu'!D24),"")</f>
        <v/>
      </c>
      <c r="D24" s="19" t="str">
        <f aca="false">IF($A24="Seçildi",IF('1-Ders Havuzu'!B24="","",'1-Ders Havuzu'!B24),"")</f>
        <v/>
      </c>
      <c r="E24" s="19" t="str">
        <f aca="false">IF($A24="Seçildi",IF('1-Ders Havuzu'!A24="","",'1-Ders Havuzu'!A24),"")</f>
        <v/>
      </c>
      <c r="F24" s="19" t="str">
        <f aca="false">IF($A24="Seçildi",IF('1-Ders Havuzu'!J24="","",'1-Ders Havuzu'!J24),"")</f>
        <v/>
      </c>
      <c r="G24" s="19" t="str">
        <f aca="false">IF($A24="Seçildi",IF('1-Ders Havuzu'!H24="","",'1-Ders Havuzu'!H24),"")</f>
        <v/>
      </c>
      <c r="H24" s="26" t="str">
        <f aca="false">IF($A24="Seçildi",IF('2-Ders-Öğr.Elemanı Eşleştirme'!H24="","",'2-Ders-Öğr.Elemanı Eşleştirme'!H24),"")</f>
        <v/>
      </c>
      <c r="I24" s="19" t="str">
        <f aca="false">IF($A24&lt;&gt;"Seçildi","",IF($H24="","⚠ Öğretim Elemanı Eksik","✓ Tamam"))</f>
        <v/>
      </c>
    </row>
    <row r="25" customFormat="false" ht="15.75" hidden="false" customHeight="true" outlineLevel="0" collapsed="false">
      <c r="A25" s="17" t="str">
        <f aca="false">'1-Ders Havuzu'!K25</f>
        <v>Seçilmedi</v>
      </c>
      <c r="B25" s="17" t="str">
        <f aca="false">IF($A25="Seçildi",IF('1-Ders Havuzu'!C25="","",'1-Ders Havuzu'!C25),"")</f>
        <v/>
      </c>
      <c r="C25" s="24" t="str">
        <f aca="false">IF($A25="Seçildi",IF('1-Ders Havuzu'!D25="","",'1-Ders Havuzu'!D25),"")</f>
        <v/>
      </c>
      <c r="D25" s="17" t="str">
        <f aca="false">IF($A25="Seçildi",IF('1-Ders Havuzu'!B25="","",'1-Ders Havuzu'!B25),"")</f>
        <v/>
      </c>
      <c r="E25" s="17" t="str">
        <f aca="false">IF($A25="Seçildi",IF('1-Ders Havuzu'!A25="","",'1-Ders Havuzu'!A25),"")</f>
        <v/>
      </c>
      <c r="F25" s="17" t="str">
        <f aca="false">IF($A25="Seçildi",IF('1-Ders Havuzu'!J25="","",'1-Ders Havuzu'!J25),"")</f>
        <v/>
      </c>
      <c r="G25" s="17" t="str">
        <f aca="false">IF($A25="Seçildi",IF('1-Ders Havuzu'!H25="","",'1-Ders Havuzu'!H25),"")</f>
        <v/>
      </c>
      <c r="H25" s="24" t="str">
        <f aca="false">IF($A25="Seçildi",IF('2-Ders-Öğr.Elemanı Eşleştirme'!H25="","",'2-Ders-Öğr.Elemanı Eşleştirme'!H25),"")</f>
        <v/>
      </c>
      <c r="I25" s="17" t="str">
        <f aca="false">IF($A25&lt;&gt;"Seçildi","",IF($H25="","⚠ Öğretim Elemanı Eksik","✓ Tamam"))</f>
        <v/>
      </c>
    </row>
    <row r="26" customFormat="false" ht="15.75" hidden="false" customHeight="true" outlineLevel="0" collapsed="false">
      <c r="A26" s="19" t="str">
        <f aca="false">'1-Ders Havuzu'!K26</f>
        <v>Seçilmedi</v>
      </c>
      <c r="B26" s="19" t="str">
        <f aca="false">IF($A26="Seçildi",IF('1-Ders Havuzu'!C26="","",'1-Ders Havuzu'!C26),"")</f>
        <v/>
      </c>
      <c r="C26" s="26" t="str">
        <f aca="false">IF($A26="Seçildi",IF('1-Ders Havuzu'!D26="","",'1-Ders Havuzu'!D26),"")</f>
        <v/>
      </c>
      <c r="D26" s="19" t="str">
        <f aca="false">IF($A26="Seçildi",IF('1-Ders Havuzu'!B26="","",'1-Ders Havuzu'!B26),"")</f>
        <v/>
      </c>
      <c r="E26" s="19" t="str">
        <f aca="false">IF($A26="Seçildi",IF('1-Ders Havuzu'!A26="","",'1-Ders Havuzu'!A26),"")</f>
        <v/>
      </c>
      <c r="F26" s="19" t="str">
        <f aca="false">IF($A26="Seçildi",IF('1-Ders Havuzu'!J26="","",'1-Ders Havuzu'!J26),"")</f>
        <v/>
      </c>
      <c r="G26" s="19" t="str">
        <f aca="false">IF($A26="Seçildi",IF('1-Ders Havuzu'!H26="","",'1-Ders Havuzu'!H26),"")</f>
        <v/>
      </c>
      <c r="H26" s="26" t="str">
        <f aca="false">IF($A26="Seçildi",IF('2-Ders-Öğr.Elemanı Eşleştirme'!H26="","",'2-Ders-Öğr.Elemanı Eşleştirme'!H26),"")</f>
        <v/>
      </c>
      <c r="I26" s="19" t="str">
        <f aca="false">IF($A26&lt;&gt;"Seçildi","",IF($H26="","⚠ Öğretim Elemanı Eksik","✓ Tamam"))</f>
        <v/>
      </c>
    </row>
    <row r="27" customFormat="false" ht="15.75" hidden="false" customHeight="true" outlineLevel="0" collapsed="false">
      <c r="A27" s="17" t="str">
        <f aca="false">'1-Ders Havuzu'!K27</f>
        <v>Seçilmedi</v>
      </c>
      <c r="B27" s="17" t="str">
        <f aca="false">IF($A27="Seçildi",IF('1-Ders Havuzu'!C27="","",'1-Ders Havuzu'!C27),"")</f>
        <v/>
      </c>
      <c r="C27" s="24" t="str">
        <f aca="false">IF($A27="Seçildi",IF('1-Ders Havuzu'!D27="","",'1-Ders Havuzu'!D27),"")</f>
        <v/>
      </c>
      <c r="D27" s="17" t="str">
        <f aca="false">IF($A27="Seçildi",IF('1-Ders Havuzu'!B27="","",'1-Ders Havuzu'!B27),"")</f>
        <v/>
      </c>
      <c r="E27" s="17" t="str">
        <f aca="false">IF($A27="Seçildi",IF('1-Ders Havuzu'!A27="","",'1-Ders Havuzu'!A27),"")</f>
        <v/>
      </c>
      <c r="F27" s="17" t="str">
        <f aca="false">IF($A27="Seçildi",IF('1-Ders Havuzu'!J27="","",'1-Ders Havuzu'!J27),"")</f>
        <v/>
      </c>
      <c r="G27" s="17" t="str">
        <f aca="false">IF($A27="Seçildi",IF('1-Ders Havuzu'!H27="","",'1-Ders Havuzu'!H27),"")</f>
        <v/>
      </c>
      <c r="H27" s="24" t="str">
        <f aca="false">IF($A27="Seçildi",IF('2-Ders-Öğr.Elemanı Eşleştirme'!H27="","",'2-Ders-Öğr.Elemanı Eşleştirme'!H27),"")</f>
        <v/>
      </c>
      <c r="I27" s="17" t="str">
        <f aca="false">IF($A27&lt;&gt;"Seçildi","",IF($H27="","⚠ Öğretim Elemanı Eksik","✓ Tamam"))</f>
        <v/>
      </c>
    </row>
    <row r="28" customFormat="false" ht="15.75" hidden="false" customHeight="true" outlineLevel="0" collapsed="false">
      <c r="A28" s="19" t="str">
        <f aca="false">'1-Ders Havuzu'!K28</f>
        <v>Seçilmedi</v>
      </c>
      <c r="B28" s="19" t="str">
        <f aca="false">IF($A28="Seçildi",IF('1-Ders Havuzu'!C28="","",'1-Ders Havuzu'!C28),"")</f>
        <v/>
      </c>
      <c r="C28" s="26" t="str">
        <f aca="false">IF($A28="Seçildi",IF('1-Ders Havuzu'!D28="","",'1-Ders Havuzu'!D28),"")</f>
        <v/>
      </c>
      <c r="D28" s="19" t="str">
        <f aca="false">IF($A28="Seçildi",IF('1-Ders Havuzu'!B28="","",'1-Ders Havuzu'!B28),"")</f>
        <v/>
      </c>
      <c r="E28" s="19" t="str">
        <f aca="false">IF($A28="Seçildi",IF('1-Ders Havuzu'!A28="","",'1-Ders Havuzu'!A28),"")</f>
        <v/>
      </c>
      <c r="F28" s="19" t="str">
        <f aca="false">IF($A28="Seçildi",IF('1-Ders Havuzu'!J28="","",'1-Ders Havuzu'!J28),"")</f>
        <v/>
      </c>
      <c r="G28" s="19" t="str">
        <f aca="false">IF($A28="Seçildi",IF('1-Ders Havuzu'!H28="","",'1-Ders Havuzu'!H28),"")</f>
        <v/>
      </c>
      <c r="H28" s="26" t="str">
        <f aca="false">IF($A28="Seçildi",IF('2-Ders-Öğr.Elemanı Eşleştirme'!H28="","",'2-Ders-Öğr.Elemanı Eşleştirme'!H28),"")</f>
        <v/>
      </c>
      <c r="I28" s="19" t="str">
        <f aca="false">IF($A28&lt;&gt;"Seçildi","",IF($H28="","⚠ Öğretim Elemanı Eksik","✓ Tamam"))</f>
        <v/>
      </c>
    </row>
    <row r="29" customFormat="false" ht="15.75" hidden="false" customHeight="true" outlineLevel="0" collapsed="false">
      <c r="A29" s="17" t="str">
        <f aca="false">'1-Ders Havuzu'!K29</f>
        <v>Seçilmedi</v>
      </c>
      <c r="B29" s="17" t="str">
        <f aca="false">IF($A29="Seçildi",IF('1-Ders Havuzu'!C29="","",'1-Ders Havuzu'!C29),"")</f>
        <v/>
      </c>
      <c r="C29" s="24" t="str">
        <f aca="false">IF($A29="Seçildi",IF('1-Ders Havuzu'!D29="","",'1-Ders Havuzu'!D29),"")</f>
        <v/>
      </c>
      <c r="D29" s="17" t="str">
        <f aca="false">IF($A29="Seçildi",IF('1-Ders Havuzu'!B29="","",'1-Ders Havuzu'!B29),"")</f>
        <v/>
      </c>
      <c r="E29" s="17" t="str">
        <f aca="false">IF($A29="Seçildi",IF('1-Ders Havuzu'!A29="","",'1-Ders Havuzu'!A29),"")</f>
        <v/>
      </c>
      <c r="F29" s="17" t="str">
        <f aca="false">IF($A29="Seçildi",IF('1-Ders Havuzu'!J29="","",'1-Ders Havuzu'!J29),"")</f>
        <v/>
      </c>
      <c r="G29" s="17" t="str">
        <f aca="false">IF($A29="Seçildi",IF('1-Ders Havuzu'!H29="","",'1-Ders Havuzu'!H29),"")</f>
        <v/>
      </c>
      <c r="H29" s="24" t="str">
        <f aca="false">IF($A29="Seçildi",IF('2-Ders-Öğr.Elemanı Eşleştirme'!H29="","",'2-Ders-Öğr.Elemanı Eşleştirme'!H29),"")</f>
        <v/>
      </c>
      <c r="I29" s="17" t="str">
        <f aca="false">IF($A29&lt;&gt;"Seçildi","",IF($H29="","⚠ Öğretim Elemanı Eksik","✓ Tamam"))</f>
        <v/>
      </c>
    </row>
    <row r="30" customFormat="false" ht="15.75" hidden="false" customHeight="true" outlineLevel="0" collapsed="false">
      <c r="A30" s="19" t="str">
        <f aca="false">'1-Ders Havuzu'!K30</f>
        <v>Seçilmedi</v>
      </c>
      <c r="B30" s="19" t="str">
        <f aca="false">IF($A30="Seçildi",IF('1-Ders Havuzu'!C30="","",'1-Ders Havuzu'!C30),"")</f>
        <v/>
      </c>
      <c r="C30" s="26" t="str">
        <f aca="false">IF($A30="Seçildi",IF('1-Ders Havuzu'!D30="","",'1-Ders Havuzu'!D30),"")</f>
        <v/>
      </c>
      <c r="D30" s="19" t="str">
        <f aca="false">IF($A30="Seçildi",IF('1-Ders Havuzu'!B30="","",'1-Ders Havuzu'!B30),"")</f>
        <v/>
      </c>
      <c r="E30" s="19" t="str">
        <f aca="false">IF($A30="Seçildi",IF('1-Ders Havuzu'!A30="","",'1-Ders Havuzu'!A30),"")</f>
        <v/>
      </c>
      <c r="F30" s="19" t="str">
        <f aca="false">IF($A30="Seçildi",IF('1-Ders Havuzu'!J30="","",'1-Ders Havuzu'!J30),"")</f>
        <v/>
      </c>
      <c r="G30" s="19" t="str">
        <f aca="false">IF($A30="Seçildi",IF('1-Ders Havuzu'!H30="","",'1-Ders Havuzu'!H30),"")</f>
        <v/>
      </c>
      <c r="H30" s="26" t="str">
        <f aca="false">IF($A30="Seçildi",IF('2-Ders-Öğr.Elemanı Eşleştirme'!H30="","",'2-Ders-Öğr.Elemanı Eşleştirme'!H30),"")</f>
        <v/>
      </c>
      <c r="I30" s="19" t="str">
        <f aca="false">IF($A30&lt;&gt;"Seçildi","",IF($H30="","⚠ Öğretim Elemanı Eksik","✓ Tamam"))</f>
        <v/>
      </c>
    </row>
    <row r="31" customFormat="false" ht="15.75" hidden="false" customHeight="true" outlineLevel="0" collapsed="false">
      <c r="A31" s="17" t="str">
        <f aca="false">'1-Ders Havuzu'!K31</f>
        <v>Seçilmedi</v>
      </c>
      <c r="B31" s="17" t="str">
        <f aca="false">IF($A31="Seçildi",IF('1-Ders Havuzu'!C31="","",'1-Ders Havuzu'!C31),"")</f>
        <v/>
      </c>
      <c r="C31" s="24" t="str">
        <f aca="false">IF($A31="Seçildi",IF('1-Ders Havuzu'!D31="","",'1-Ders Havuzu'!D31),"")</f>
        <v/>
      </c>
      <c r="D31" s="17" t="str">
        <f aca="false">IF($A31="Seçildi",IF('1-Ders Havuzu'!B31="","",'1-Ders Havuzu'!B31),"")</f>
        <v/>
      </c>
      <c r="E31" s="17" t="str">
        <f aca="false">IF($A31="Seçildi",IF('1-Ders Havuzu'!A31="","",'1-Ders Havuzu'!A31),"")</f>
        <v/>
      </c>
      <c r="F31" s="17" t="str">
        <f aca="false">IF($A31="Seçildi",IF('1-Ders Havuzu'!J31="","",'1-Ders Havuzu'!J31),"")</f>
        <v/>
      </c>
      <c r="G31" s="17" t="str">
        <f aca="false">IF($A31="Seçildi",IF('1-Ders Havuzu'!H31="","",'1-Ders Havuzu'!H31),"")</f>
        <v/>
      </c>
      <c r="H31" s="24" t="str">
        <f aca="false">IF($A31="Seçildi",IF('2-Ders-Öğr.Elemanı Eşleştirme'!H31="","",'2-Ders-Öğr.Elemanı Eşleştirme'!H31),"")</f>
        <v/>
      </c>
      <c r="I31" s="17" t="str">
        <f aca="false">IF($A31&lt;&gt;"Seçildi","",IF($H31="","⚠ Öğretim Elemanı Eksik","✓ Tamam"))</f>
        <v/>
      </c>
    </row>
    <row r="32" customFormat="false" ht="15.75" hidden="false" customHeight="true" outlineLevel="0" collapsed="false">
      <c r="A32" s="19" t="str">
        <f aca="false">'1-Ders Havuzu'!K32</f>
        <v>Seçilmedi</v>
      </c>
      <c r="B32" s="19" t="str">
        <f aca="false">IF($A32="Seçildi",IF('1-Ders Havuzu'!C32="","",'1-Ders Havuzu'!C32),"")</f>
        <v/>
      </c>
      <c r="C32" s="26" t="str">
        <f aca="false">IF($A32="Seçildi",IF('1-Ders Havuzu'!D32="","",'1-Ders Havuzu'!D32),"")</f>
        <v/>
      </c>
      <c r="D32" s="19" t="str">
        <f aca="false">IF($A32="Seçildi",IF('1-Ders Havuzu'!B32="","",'1-Ders Havuzu'!B32),"")</f>
        <v/>
      </c>
      <c r="E32" s="19" t="str">
        <f aca="false">IF($A32="Seçildi",IF('1-Ders Havuzu'!A32="","",'1-Ders Havuzu'!A32),"")</f>
        <v/>
      </c>
      <c r="F32" s="19" t="str">
        <f aca="false">IF($A32="Seçildi",IF('1-Ders Havuzu'!J32="","",'1-Ders Havuzu'!J32),"")</f>
        <v/>
      </c>
      <c r="G32" s="19" t="str">
        <f aca="false">IF($A32="Seçildi",IF('1-Ders Havuzu'!H32="","",'1-Ders Havuzu'!H32),"")</f>
        <v/>
      </c>
      <c r="H32" s="26" t="str">
        <f aca="false">IF($A32="Seçildi",IF('2-Ders-Öğr.Elemanı Eşleştirme'!H32="","",'2-Ders-Öğr.Elemanı Eşleştirme'!H32),"")</f>
        <v/>
      </c>
      <c r="I32" s="19" t="str">
        <f aca="false">IF($A32&lt;&gt;"Seçildi","",IF($H32="","⚠ Öğretim Elemanı Eksik","✓ Tamam"))</f>
        <v/>
      </c>
    </row>
    <row r="33" customFormat="false" ht="15.75" hidden="false" customHeight="true" outlineLevel="0" collapsed="false">
      <c r="A33" s="17" t="str">
        <f aca="false">'1-Ders Havuzu'!K33</f>
        <v>Seçilmedi</v>
      </c>
      <c r="B33" s="17" t="str">
        <f aca="false">IF($A33="Seçildi",IF('1-Ders Havuzu'!C33="","",'1-Ders Havuzu'!C33),"")</f>
        <v/>
      </c>
      <c r="C33" s="24" t="str">
        <f aca="false">IF($A33="Seçildi",IF('1-Ders Havuzu'!D33="","",'1-Ders Havuzu'!D33),"")</f>
        <v/>
      </c>
      <c r="D33" s="17" t="str">
        <f aca="false">IF($A33="Seçildi",IF('1-Ders Havuzu'!B33="","",'1-Ders Havuzu'!B33),"")</f>
        <v/>
      </c>
      <c r="E33" s="17" t="str">
        <f aca="false">IF($A33="Seçildi",IF('1-Ders Havuzu'!A33="","",'1-Ders Havuzu'!A33),"")</f>
        <v/>
      </c>
      <c r="F33" s="17" t="str">
        <f aca="false">IF($A33="Seçildi",IF('1-Ders Havuzu'!J33="","",'1-Ders Havuzu'!J33),"")</f>
        <v/>
      </c>
      <c r="G33" s="17" t="str">
        <f aca="false">IF($A33="Seçildi",IF('1-Ders Havuzu'!H33="","",'1-Ders Havuzu'!H33),"")</f>
        <v/>
      </c>
      <c r="H33" s="24" t="str">
        <f aca="false">IF($A33="Seçildi",IF('2-Ders-Öğr.Elemanı Eşleştirme'!H33="","",'2-Ders-Öğr.Elemanı Eşleştirme'!H33),"")</f>
        <v/>
      </c>
      <c r="I33" s="17" t="str">
        <f aca="false">IF($A33&lt;&gt;"Seçildi","",IF($H33="","⚠ Öğretim Elemanı Eksik","✓ Tamam"))</f>
        <v/>
      </c>
    </row>
    <row r="34" customFormat="false" ht="15.75" hidden="false" customHeight="true" outlineLevel="0" collapsed="false">
      <c r="A34" s="19" t="str">
        <f aca="false">'1-Ders Havuzu'!K34</f>
        <v>Seçilmedi</v>
      </c>
      <c r="B34" s="19" t="str">
        <f aca="false">IF($A34="Seçildi",IF('1-Ders Havuzu'!C34="","",'1-Ders Havuzu'!C34),"")</f>
        <v/>
      </c>
      <c r="C34" s="26" t="str">
        <f aca="false">IF($A34="Seçildi",IF('1-Ders Havuzu'!D34="","",'1-Ders Havuzu'!D34),"")</f>
        <v/>
      </c>
      <c r="D34" s="19" t="str">
        <f aca="false">IF($A34="Seçildi",IF('1-Ders Havuzu'!B34="","",'1-Ders Havuzu'!B34),"")</f>
        <v/>
      </c>
      <c r="E34" s="19" t="str">
        <f aca="false">IF($A34="Seçildi",IF('1-Ders Havuzu'!A34="","",'1-Ders Havuzu'!A34),"")</f>
        <v/>
      </c>
      <c r="F34" s="19" t="str">
        <f aca="false">IF($A34="Seçildi",IF('1-Ders Havuzu'!J34="","",'1-Ders Havuzu'!J34),"")</f>
        <v/>
      </c>
      <c r="G34" s="19" t="str">
        <f aca="false">IF($A34="Seçildi",IF('1-Ders Havuzu'!H34="","",'1-Ders Havuzu'!H34),"")</f>
        <v/>
      </c>
      <c r="H34" s="26" t="str">
        <f aca="false">IF($A34="Seçildi",IF('2-Ders-Öğr.Elemanı Eşleştirme'!H34="","",'2-Ders-Öğr.Elemanı Eşleştirme'!H34),"")</f>
        <v/>
      </c>
      <c r="I34" s="19" t="str">
        <f aca="false">IF($A34&lt;&gt;"Seçildi","",IF($H34="","⚠ Öğretim Elemanı Eksik","✓ Tamam"))</f>
        <v/>
      </c>
    </row>
    <row r="35" customFormat="false" ht="15.75" hidden="false" customHeight="true" outlineLevel="0" collapsed="false">
      <c r="A35" s="17" t="str">
        <f aca="false">'1-Ders Havuzu'!K35</f>
        <v>Seçilmedi</v>
      </c>
      <c r="B35" s="17" t="str">
        <f aca="false">IF($A35="Seçildi",IF('1-Ders Havuzu'!C35="","",'1-Ders Havuzu'!C35),"")</f>
        <v/>
      </c>
      <c r="C35" s="24" t="str">
        <f aca="false">IF($A35="Seçildi",IF('1-Ders Havuzu'!D35="","",'1-Ders Havuzu'!D35),"")</f>
        <v/>
      </c>
      <c r="D35" s="17" t="str">
        <f aca="false">IF($A35="Seçildi",IF('1-Ders Havuzu'!B35="","",'1-Ders Havuzu'!B35),"")</f>
        <v/>
      </c>
      <c r="E35" s="17" t="str">
        <f aca="false">IF($A35="Seçildi",IF('1-Ders Havuzu'!A35="","",'1-Ders Havuzu'!A35),"")</f>
        <v/>
      </c>
      <c r="F35" s="17" t="str">
        <f aca="false">IF($A35="Seçildi",IF('1-Ders Havuzu'!J35="","",'1-Ders Havuzu'!J35),"")</f>
        <v/>
      </c>
      <c r="G35" s="17" t="str">
        <f aca="false">IF($A35="Seçildi",IF('1-Ders Havuzu'!H35="","",'1-Ders Havuzu'!H35),"")</f>
        <v/>
      </c>
      <c r="H35" s="24" t="str">
        <f aca="false">IF($A35="Seçildi",IF('2-Ders-Öğr.Elemanı Eşleştirme'!H35="","",'2-Ders-Öğr.Elemanı Eşleştirme'!H35),"")</f>
        <v/>
      </c>
      <c r="I35" s="17" t="str">
        <f aca="false">IF($A35&lt;&gt;"Seçildi","",IF($H35="","⚠ Öğretim Elemanı Eksik","✓ Tamam"))</f>
        <v/>
      </c>
    </row>
    <row r="36" customFormat="false" ht="15.75" hidden="false" customHeight="true" outlineLevel="0" collapsed="false">
      <c r="A36" s="19" t="str">
        <f aca="false">'1-Ders Havuzu'!K36</f>
        <v>Seçilmedi</v>
      </c>
      <c r="B36" s="19" t="str">
        <f aca="false">IF($A36="Seçildi",IF('1-Ders Havuzu'!C36="","",'1-Ders Havuzu'!C36),"")</f>
        <v/>
      </c>
      <c r="C36" s="26" t="str">
        <f aca="false">IF($A36="Seçildi",IF('1-Ders Havuzu'!D36="","",'1-Ders Havuzu'!D36),"")</f>
        <v/>
      </c>
      <c r="D36" s="19" t="str">
        <f aca="false">IF($A36="Seçildi",IF('1-Ders Havuzu'!B36="","",'1-Ders Havuzu'!B36),"")</f>
        <v/>
      </c>
      <c r="E36" s="19" t="str">
        <f aca="false">IF($A36="Seçildi",IF('1-Ders Havuzu'!A36="","",'1-Ders Havuzu'!A36),"")</f>
        <v/>
      </c>
      <c r="F36" s="19" t="str">
        <f aca="false">IF($A36="Seçildi",IF('1-Ders Havuzu'!J36="","",'1-Ders Havuzu'!J36),"")</f>
        <v/>
      </c>
      <c r="G36" s="19" t="str">
        <f aca="false">IF($A36="Seçildi",IF('1-Ders Havuzu'!H36="","",'1-Ders Havuzu'!H36),"")</f>
        <v/>
      </c>
      <c r="H36" s="26" t="str">
        <f aca="false">IF($A36="Seçildi",IF('2-Ders-Öğr.Elemanı Eşleştirme'!H36="","",'2-Ders-Öğr.Elemanı Eşleştirme'!H36),"")</f>
        <v/>
      </c>
      <c r="I36" s="19" t="str">
        <f aca="false">IF($A36&lt;&gt;"Seçildi","",IF($H36="","⚠ Öğretim Elemanı Eksik","✓ Tamam"))</f>
        <v/>
      </c>
    </row>
    <row r="37" customFormat="false" ht="15.75" hidden="false" customHeight="true" outlineLevel="0" collapsed="false">
      <c r="A37" s="17" t="str">
        <f aca="false">'1-Ders Havuzu'!K37</f>
        <v>Seçilmedi</v>
      </c>
      <c r="B37" s="17" t="str">
        <f aca="false">IF($A37="Seçildi",IF('1-Ders Havuzu'!C37="","",'1-Ders Havuzu'!C37),"")</f>
        <v/>
      </c>
      <c r="C37" s="24" t="str">
        <f aca="false">IF($A37="Seçildi",IF('1-Ders Havuzu'!D37="","",'1-Ders Havuzu'!D37),"")</f>
        <v/>
      </c>
      <c r="D37" s="17" t="str">
        <f aca="false">IF($A37="Seçildi",IF('1-Ders Havuzu'!B37="","",'1-Ders Havuzu'!B37),"")</f>
        <v/>
      </c>
      <c r="E37" s="17" t="str">
        <f aca="false">IF($A37="Seçildi",IF('1-Ders Havuzu'!A37="","",'1-Ders Havuzu'!A37),"")</f>
        <v/>
      </c>
      <c r="F37" s="17" t="str">
        <f aca="false">IF($A37="Seçildi",IF('1-Ders Havuzu'!J37="","",'1-Ders Havuzu'!J37),"")</f>
        <v/>
      </c>
      <c r="G37" s="17" t="str">
        <f aca="false">IF($A37="Seçildi",IF('1-Ders Havuzu'!H37="","",'1-Ders Havuzu'!H37),"")</f>
        <v/>
      </c>
      <c r="H37" s="24" t="str">
        <f aca="false">IF($A37="Seçildi",IF('2-Ders-Öğr.Elemanı Eşleştirme'!H37="","",'2-Ders-Öğr.Elemanı Eşleştirme'!H37),"")</f>
        <v/>
      </c>
      <c r="I37" s="17" t="str">
        <f aca="false">IF($A37&lt;&gt;"Seçildi","",IF($H37="","⚠ Öğretim Elemanı Eksik","✓ Tamam"))</f>
        <v/>
      </c>
    </row>
    <row r="38" customFormat="false" ht="15.75" hidden="false" customHeight="true" outlineLevel="0" collapsed="false">
      <c r="A38" s="19" t="str">
        <f aca="false">'1-Ders Havuzu'!K38</f>
        <v>Seçilmedi</v>
      </c>
      <c r="B38" s="19" t="str">
        <f aca="false">IF($A38="Seçildi",IF('1-Ders Havuzu'!C38="","",'1-Ders Havuzu'!C38),"")</f>
        <v/>
      </c>
      <c r="C38" s="26" t="str">
        <f aca="false">IF($A38="Seçildi",IF('1-Ders Havuzu'!D38="","",'1-Ders Havuzu'!D38),"")</f>
        <v/>
      </c>
      <c r="D38" s="19" t="str">
        <f aca="false">IF($A38="Seçildi",IF('1-Ders Havuzu'!B38="","",'1-Ders Havuzu'!B38),"")</f>
        <v/>
      </c>
      <c r="E38" s="19" t="str">
        <f aca="false">IF($A38="Seçildi",IF('1-Ders Havuzu'!A38="","",'1-Ders Havuzu'!A38),"")</f>
        <v/>
      </c>
      <c r="F38" s="19" t="str">
        <f aca="false">IF($A38="Seçildi",IF('1-Ders Havuzu'!J38="","",'1-Ders Havuzu'!J38),"")</f>
        <v/>
      </c>
      <c r="G38" s="19" t="str">
        <f aca="false">IF($A38="Seçildi",IF('1-Ders Havuzu'!H38="","",'1-Ders Havuzu'!H38),"")</f>
        <v/>
      </c>
      <c r="H38" s="26" t="str">
        <f aca="false">IF($A38="Seçildi",IF('2-Ders-Öğr.Elemanı Eşleştirme'!H38="","",'2-Ders-Öğr.Elemanı Eşleştirme'!H38),"")</f>
        <v/>
      </c>
      <c r="I38" s="19" t="str">
        <f aca="false">IF($A38&lt;&gt;"Seçildi","",IF($H38="","⚠ Öğretim Elemanı Eksik","✓ Tamam"))</f>
        <v/>
      </c>
    </row>
    <row r="39" customFormat="false" ht="15.75" hidden="false" customHeight="true" outlineLevel="0" collapsed="false">
      <c r="A39" s="17" t="str">
        <f aca="false">'1-Ders Havuzu'!K39</f>
        <v>Seçilmedi</v>
      </c>
      <c r="B39" s="17" t="str">
        <f aca="false">IF($A39="Seçildi",IF('1-Ders Havuzu'!C39="","",'1-Ders Havuzu'!C39),"")</f>
        <v/>
      </c>
      <c r="C39" s="24" t="str">
        <f aca="false">IF($A39="Seçildi",IF('1-Ders Havuzu'!D39="","",'1-Ders Havuzu'!D39),"")</f>
        <v/>
      </c>
      <c r="D39" s="17" t="str">
        <f aca="false">IF($A39="Seçildi",IF('1-Ders Havuzu'!B39="","",'1-Ders Havuzu'!B39),"")</f>
        <v/>
      </c>
      <c r="E39" s="17" t="str">
        <f aca="false">IF($A39="Seçildi",IF('1-Ders Havuzu'!A39="","",'1-Ders Havuzu'!A39),"")</f>
        <v/>
      </c>
      <c r="F39" s="17" t="str">
        <f aca="false">IF($A39="Seçildi",IF('1-Ders Havuzu'!J39="","",'1-Ders Havuzu'!J39),"")</f>
        <v/>
      </c>
      <c r="G39" s="17" t="str">
        <f aca="false">IF($A39="Seçildi",IF('1-Ders Havuzu'!H39="","",'1-Ders Havuzu'!H39),"")</f>
        <v/>
      </c>
      <c r="H39" s="24" t="str">
        <f aca="false">IF($A39="Seçildi",IF('2-Ders-Öğr.Elemanı Eşleştirme'!H39="","",'2-Ders-Öğr.Elemanı Eşleştirme'!H39),"")</f>
        <v/>
      </c>
      <c r="I39" s="17" t="str">
        <f aca="false">IF($A39&lt;&gt;"Seçildi","",IF($H39="","⚠ Öğretim Elemanı Eksik","✓ Tamam"))</f>
        <v/>
      </c>
    </row>
    <row r="40" customFormat="false" ht="15.75" hidden="false" customHeight="true" outlineLevel="0" collapsed="false">
      <c r="A40" s="19" t="str">
        <f aca="false">'1-Ders Havuzu'!K40</f>
        <v>Seçilmedi</v>
      </c>
      <c r="B40" s="19" t="str">
        <f aca="false">IF($A40="Seçildi",IF('1-Ders Havuzu'!C40="","",'1-Ders Havuzu'!C40),"")</f>
        <v/>
      </c>
      <c r="C40" s="26" t="str">
        <f aca="false">IF($A40="Seçildi",IF('1-Ders Havuzu'!D40="","",'1-Ders Havuzu'!D40),"")</f>
        <v/>
      </c>
      <c r="D40" s="19" t="str">
        <f aca="false">IF($A40="Seçildi",IF('1-Ders Havuzu'!B40="","",'1-Ders Havuzu'!B40),"")</f>
        <v/>
      </c>
      <c r="E40" s="19" t="str">
        <f aca="false">IF($A40="Seçildi",IF('1-Ders Havuzu'!A40="","",'1-Ders Havuzu'!A40),"")</f>
        <v/>
      </c>
      <c r="F40" s="19" t="str">
        <f aca="false">IF($A40="Seçildi",IF('1-Ders Havuzu'!J40="","",'1-Ders Havuzu'!J40),"")</f>
        <v/>
      </c>
      <c r="G40" s="19" t="str">
        <f aca="false">IF($A40="Seçildi",IF('1-Ders Havuzu'!H40="","",'1-Ders Havuzu'!H40),"")</f>
        <v/>
      </c>
      <c r="H40" s="26" t="str">
        <f aca="false">IF($A40="Seçildi",IF('2-Ders-Öğr.Elemanı Eşleştirme'!H40="","",'2-Ders-Öğr.Elemanı Eşleştirme'!H40),"")</f>
        <v/>
      </c>
      <c r="I40" s="19" t="str">
        <f aca="false">IF($A40&lt;&gt;"Seçildi","",IF($H40="","⚠ Öğretim Elemanı Eksik","✓ Tamam"))</f>
        <v/>
      </c>
    </row>
    <row r="41" customFormat="false" ht="15.75" hidden="false" customHeight="true" outlineLevel="0" collapsed="false">
      <c r="A41" s="17" t="str">
        <f aca="false">'1-Ders Havuzu'!K41</f>
        <v>Seçilmedi</v>
      </c>
      <c r="B41" s="17" t="str">
        <f aca="false">IF($A41="Seçildi",IF('1-Ders Havuzu'!C41="","",'1-Ders Havuzu'!C41),"")</f>
        <v/>
      </c>
      <c r="C41" s="24" t="str">
        <f aca="false">IF($A41="Seçildi",IF('1-Ders Havuzu'!D41="","",'1-Ders Havuzu'!D41),"")</f>
        <v/>
      </c>
      <c r="D41" s="17" t="str">
        <f aca="false">IF($A41="Seçildi",IF('1-Ders Havuzu'!B41="","",'1-Ders Havuzu'!B41),"")</f>
        <v/>
      </c>
      <c r="E41" s="17" t="str">
        <f aca="false">IF($A41="Seçildi",IF('1-Ders Havuzu'!A41="","",'1-Ders Havuzu'!A41),"")</f>
        <v/>
      </c>
      <c r="F41" s="17" t="str">
        <f aca="false">IF($A41="Seçildi",IF('1-Ders Havuzu'!J41="","",'1-Ders Havuzu'!J41),"")</f>
        <v/>
      </c>
      <c r="G41" s="17" t="str">
        <f aca="false">IF($A41="Seçildi",IF('1-Ders Havuzu'!H41="","",'1-Ders Havuzu'!H41),"")</f>
        <v/>
      </c>
      <c r="H41" s="24" t="str">
        <f aca="false">IF($A41="Seçildi",IF('2-Ders-Öğr.Elemanı Eşleştirme'!H41="","",'2-Ders-Öğr.Elemanı Eşleştirme'!H41),"")</f>
        <v/>
      </c>
      <c r="I41" s="17" t="str">
        <f aca="false">IF($A41&lt;&gt;"Seçildi","",IF($H41="","⚠ Öğretim Elemanı Eksik","✓ Tamam"))</f>
        <v/>
      </c>
    </row>
    <row r="42" customFormat="false" ht="15.75" hidden="false" customHeight="true" outlineLevel="0" collapsed="false">
      <c r="A42" s="19" t="str">
        <f aca="false">'1-Ders Havuzu'!K42</f>
        <v>Seçilmedi</v>
      </c>
      <c r="B42" s="19" t="str">
        <f aca="false">IF($A42="Seçildi",IF('1-Ders Havuzu'!C42="","",'1-Ders Havuzu'!C42),"")</f>
        <v/>
      </c>
      <c r="C42" s="26" t="str">
        <f aca="false">IF($A42="Seçildi",IF('1-Ders Havuzu'!D42="","",'1-Ders Havuzu'!D42),"")</f>
        <v/>
      </c>
      <c r="D42" s="19" t="str">
        <f aca="false">IF($A42="Seçildi",IF('1-Ders Havuzu'!B42="","",'1-Ders Havuzu'!B42),"")</f>
        <v/>
      </c>
      <c r="E42" s="19" t="str">
        <f aca="false">IF($A42="Seçildi",IF('1-Ders Havuzu'!A42="","",'1-Ders Havuzu'!A42),"")</f>
        <v/>
      </c>
      <c r="F42" s="19" t="str">
        <f aca="false">IF($A42="Seçildi",IF('1-Ders Havuzu'!J42="","",'1-Ders Havuzu'!J42),"")</f>
        <v/>
      </c>
      <c r="G42" s="19" t="str">
        <f aca="false">IF($A42="Seçildi",IF('1-Ders Havuzu'!H42="","",'1-Ders Havuzu'!H42),"")</f>
        <v/>
      </c>
      <c r="H42" s="26" t="str">
        <f aca="false">IF($A42="Seçildi",IF('2-Ders-Öğr.Elemanı Eşleştirme'!H42="","",'2-Ders-Öğr.Elemanı Eşleştirme'!H42),"")</f>
        <v/>
      </c>
      <c r="I42" s="19" t="str">
        <f aca="false">IF($A42&lt;&gt;"Seçildi","",IF($H42="","⚠ Öğretim Elemanı Eksik","✓ Tamam"))</f>
        <v/>
      </c>
    </row>
    <row r="43" customFormat="false" ht="15.75" hidden="false" customHeight="true" outlineLevel="0" collapsed="false">
      <c r="A43" s="17" t="str">
        <f aca="false">'1-Ders Havuzu'!K43</f>
        <v>Seçilmedi</v>
      </c>
      <c r="B43" s="17" t="str">
        <f aca="false">IF($A43="Seçildi",IF('1-Ders Havuzu'!C43="","",'1-Ders Havuzu'!C43),"")</f>
        <v/>
      </c>
      <c r="C43" s="24" t="str">
        <f aca="false">IF($A43="Seçildi",IF('1-Ders Havuzu'!D43="","",'1-Ders Havuzu'!D43),"")</f>
        <v/>
      </c>
      <c r="D43" s="17" t="str">
        <f aca="false">IF($A43="Seçildi",IF('1-Ders Havuzu'!B43="","",'1-Ders Havuzu'!B43),"")</f>
        <v/>
      </c>
      <c r="E43" s="17" t="str">
        <f aca="false">IF($A43="Seçildi",IF('1-Ders Havuzu'!A43="","",'1-Ders Havuzu'!A43),"")</f>
        <v/>
      </c>
      <c r="F43" s="17" t="str">
        <f aca="false">IF($A43="Seçildi",IF('1-Ders Havuzu'!J43="","",'1-Ders Havuzu'!J43),"")</f>
        <v/>
      </c>
      <c r="G43" s="17" t="str">
        <f aca="false">IF($A43="Seçildi",IF('1-Ders Havuzu'!H43="","",'1-Ders Havuzu'!H43),"")</f>
        <v/>
      </c>
      <c r="H43" s="24" t="str">
        <f aca="false">IF($A43="Seçildi",IF('2-Ders-Öğr.Elemanı Eşleştirme'!H43="","",'2-Ders-Öğr.Elemanı Eşleştirme'!H43),"")</f>
        <v/>
      </c>
      <c r="I43" s="17" t="str">
        <f aca="false">IF($A43&lt;&gt;"Seçildi","",IF($H43="","⚠ Öğretim Elemanı Eksik","✓ Tamam"))</f>
        <v/>
      </c>
    </row>
    <row r="44" customFormat="false" ht="15.75" hidden="false" customHeight="true" outlineLevel="0" collapsed="false">
      <c r="A44" s="19" t="str">
        <f aca="false">'1-Ders Havuzu'!K44</f>
        <v>Seçilmedi</v>
      </c>
      <c r="B44" s="19" t="str">
        <f aca="false">IF($A44="Seçildi",IF('1-Ders Havuzu'!C44="","",'1-Ders Havuzu'!C44),"")</f>
        <v/>
      </c>
      <c r="C44" s="26" t="str">
        <f aca="false">IF($A44="Seçildi",IF('1-Ders Havuzu'!D44="","",'1-Ders Havuzu'!D44),"")</f>
        <v/>
      </c>
      <c r="D44" s="19" t="str">
        <f aca="false">IF($A44="Seçildi",IF('1-Ders Havuzu'!B44="","",'1-Ders Havuzu'!B44),"")</f>
        <v/>
      </c>
      <c r="E44" s="19" t="str">
        <f aca="false">IF($A44="Seçildi",IF('1-Ders Havuzu'!A44="","",'1-Ders Havuzu'!A44),"")</f>
        <v/>
      </c>
      <c r="F44" s="19" t="str">
        <f aca="false">IF($A44="Seçildi",IF('1-Ders Havuzu'!J44="","",'1-Ders Havuzu'!J44),"")</f>
        <v/>
      </c>
      <c r="G44" s="19" t="str">
        <f aca="false">IF($A44="Seçildi",IF('1-Ders Havuzu'!H44="","",'1-Ders Havuzu'!H44),"")</f>
        <v/>
      </c>
      <c r="H44" s="26" t="str">
        <f aca="false">IF($A44="Seçildi",IF('2-Ders-Öğr.Elemanı Eşleştirme'!H44="","",'2-Ders-Öğr.Elemanı Eşleştirme'!H44),"")</f>
        <v/>
      </c>
      <c r="I44" s="19" t="str">
        <f aca="false">IF($A44&lt;&gt;"Seçildi","",IF($H44="","⚠ Öğretim Elemanı Eksik","✓ Tamam"))</f>
        <v/>
      </c>
    </row>
    <row r="45" customFormat="false" ht="15.75" hidden="false" customHeight="true" outlineLevel="0" collapsed="false">
      <c r="A45" s="17" t="str">
        <f aca="false">'1-Ders Havuzu'!K45</f>
        <v>Seçilmedi</v>
      </c>
      <c r="B45" s="17" t="str">
        <f aca="false">IF($A45="Seçildi",IF('1-Ders Havuzu'!C45="","",'1-Ders Havuzu'!C45),"")</f>
        <v/>
      </c>
      <c r="C45" s="24" t="str">
        <f aca="false">IF($A45="Seçildi",IF('1-Ders Havuzu'!D45="","",'1-Ders Havuzu'!D45),"")</f>
        <v/>
      </c>
      <c r="D45" s="17" t="str">
        <f aca="false">IF($A45="Seçildi",IF('1-Ders Havuzu'!B45="","",'1-Ders Havuzu'!B45),"")</f>
        <v/>
      </c>
      <c r="E45" s="17" t="str">
        <f aca="false">IF($A45="Seçildi",IF('1-Ders Havuzu'!A45="","",'1-Ders Havuzu'!A45),"")</f>
        <v/>
      </c>
      <c r="F45" s="17" t="str">
        <f aca="false">IF($A45="Seçildi",IF('1-Ders Havuzu'!J45="","",'1-Ders Havuzu'!J45),"")</f>
        <v/>
      </c>
      <c r="G45" s="17" t="str">
        <f aca="false">IF($A45="Seçildi",IF('1-Ders Havuzu'!H45="","",'1-Ders Havuzu'!H45),"")</f>
        <v/>
      </c>
      <c r="H45" s="24" t="str">
        <f aca="false">IF($A45="Seçildi",IF('2-Ders-Öğr.Elemanı Eşleştirme'!H45="","",'2-Ders-Öğr.Elemanı Eşleştirme'!H45),"")</f>
        <v/>
      </c>
      <c r="I45" s="17" t="str">
        <f aca="false">IF($A45&lt;&gt;"Seçildi","",IF($H45="","⚠ Öğretim Elemanı Eksik","✓ Tamam"))</f>
        <v/>
      </c>
    </row>
    <row r="46" customFormat="false" ht="15.75" hidden="false" customHeight="true" outlineLevel="0" collapsed="false">
      <c r="A46" s="19" t="str">
        <f aca="false">'1-Ders Havuzu'!K46</f>
        <v>Seçilmedi</v>
      </c>
      <c r="B46" s="19" t="str">
        <f aca="false">IF($A46="Seçildi",IF('1-Ders Havuzu'!C46="","",'1-Ders Havuzu'!C46),"")</f>
        <v/>
      </c>
      <c r="C46" s="26" t="str">
        <f aca="false">IF($A46="Seçildi",IF('1-Ders Havuzu'!D46="","",'1-Ders Havuzu'!D46),"")</f>
        <v/>
      </c>
      <c r="D46" s="19" t="str">
        <f aca="false">IF($A46="Seçildi",IF('1-Ders Havuzu'!B46="","",'1-Ders Havuzu'!B46),"")</f>
        <v/>
      </c>
      <c r="E46" s="19" t="str">
        <f aca="false">IF($A46="Seçildi",IF('1-Ders Havuzu'!A46="","",'1-Ders Havuzu'!A46),"")</f>
        <v/>
      </c>
      <c r="F46" s="19" t="str">
        <f aca="false">IF($A46="Seçildi",IF('1-Ders Havuzu'!J46="","",'1-Ders Havuzu'!J46),"")</f>
        <v/>
      </c>
      <c r="G46" s="19" t="str">
        <f aca="false">IF($A46="Seçildi",IF('1-Ders Havuzu'!H46="","",'1-Ders Havuzu'!H46),"")</f>
        <v/>
      </c>
      <c r="H46" s="26" t="str">
        <f aca="false">IF($A46="Seçildi",IF('2-Ders-Öğr.Elemanı Eşleştirme'!H46="","",'2-Ders-Öğr.Elemanı Eşleştirme'!H46),"")</f>
        <v/>
      </c>
      <c r="I46" s="19" t="str">
        <f aca="false">IF($A46&lt;&gt;"Seçildi","",IF($H46="","⚠ Öğretim Elemanı Eksik","✓ Tamam"))</f>
        <v/>
      </c>
    </row>
    <row r="47" customFormat="false" ht="15.75" hidden="false" customHeight="true" outlineLevel="0" collapsed="false">
      <c r="A47" s="17" t="str">
        <f aca="false">'1-Ders Havuzu'!K47</f>
        <v>Seçilmedi</v>
      </c>
      <c r="B47" s="17" t="str">
        <f aca="false">IF($A47="Seçildi",IF('1-Ders Havuzu'!C47="","",'1-Ders Havuzu'!C47),"")</f>
        <v/>
      </c>
      <c r="C47" s="24" t="str">
        <f aca="false">IF($A47="Seçildi",IF('1-Ders Havuzu'!D47="","",'1-Ders Havuzu'!D47),"")</f>
        <v/>
      </c>
      <c r="D47" s="17" t="str">
        <f aca="false">IF($A47="Seçildi",IF('1-Ders Havuzu'!B47="","",'1-Ders Havuzu'!B47),"")</f>
        <v/>
      </c>
      <c r="E47" s="17" t="str">
        <f aca="false">IF($A47="Seçildi",IF('1-Ders Havuzu'!A47="","",'1-Ders Havuzu'!A47),"")</f>
        <v/>
      </c>
      <c r="F47" s="17" t="str">
        <f aca="false">IF($A47="Seçildi",IF('1-Ders Havuzu'!J47="","",'1-Ders Havuzu'!J47),"")</f>
        <v/>
      </c>
      <c r="G47" s="17" t="str">
        <f aca="false">IF($A47="Seçildi",IF('1-Ders Havuzu'!H47="","",'1-Ders Havuzu'!H47),"")</f>
        <v/>
      </c>
      <c r="H47" s="24" t="str">
        <f aca="false">IF($A47="Seçildi",IF('2-Ders-Öğr.Elemanı Eşleştirme'!H47="","",'2-Ders-Öğr.Elemanı Eşleştirme'!H47),"")</f>
        <v/>
      </c>
      <c r="I47" s="17" t="str">
        <f aca="false">IF($A47&lt;&gt;"Seçildi","",IF($H47="","⚠ Öğretim Elemanı Eksik","✓ Tamam"))</f>
        <v/>
      </c>
    </row>
    <row r="48" customFormat="false" ht="15.75" hidden="false" customHeight="true" outlineLevel="0" collapsed="false">
      <c r="A48" s="19" t="str">
        <f aca="false">'1-Ders Havuzu'!K48</f>
        <v>Seçilmedi</v>
      </c>
      <c r="B48" s="19" t="str">
        <f aca="false">IF($A48="Seçildi",IF('1-Ders Havuzu'!C48="","",'1-Ders Havuzu'!C48),"")</f>
        <v/>
      </c>
      <c r="C48" s="26" t="str">
        <f aca="false">IF($A48="Seçildi",IF('1-Ders Havuzu'!D48="","",'1-Ders Havuzu'!D48),"")</f>
        <v/>
      </c>
      <c r="D48" s="19" t="str">
        <f aca="false">IF($A48="Seçildi",IF('1-Ders Havuzu'!B48="","",'1-Ders Havuzu'!B48),"")</f>
        <v/>
      </c>
      <c r="E48" s="19" t="str">
        <f aca="false">IF($A48="Seçildi",IF('1-Ders Havuzu'!A48="","",'1-Ders Havuzu'!A48),"")</f>
        <v/>
      </c>
      <c r="F48" s="19" t="str">
        <f aca="false">IF($A48="Seçildi",IF('1-Ders Havuzu'!J48="","",'1-Ders Havuzu'!J48),"")</f>
        <v/>
      </c>
      <c r="G48" s="19" t="str">
        <f aca="false">IF($A48="Seçildi",IF('1-Ders Havuzu'!H48="","",'1-Ders Havuzu'!H48),"")</f>
        <v/>
      </c>
      <c r="H48" s="26" t="str">
        <f aca="false">IF($A48="Seçildi",IF('2-Ders-Öğr.Elemanı Eşleştirme'!H48="","",'2-Ders-Öğr.Elemanı Eşleştirme'!H48),"")</f>
        <v/>
      </c>
      <c r="I48" s="19" t="str">
        <f aca="false">IF($A48&lt;&gt;"Seçildi","",IF($H48="","⚠ Öğretim Elemanı Eksik","✓ Tamam"))</f>
        <v/>
      </c>
    </row>
    <row r="49" customFormat="false" ht="15.75" hidden="false" customHeight="true" outlineLevel="0" collapsed="false">
      <c r="A49" s="17" t="str">
        <f aca="false">'1-Ders Havuzu'!K49</f>
        <v>Seçilmedi</v>
      </c>
      <c r="B49" s="17" t="str">
        <f aca="false">IF($A49="Seçildi",IF('1-Ders Havuzu'!C49="","",'1-Ders Havuzu'!C49),"")</f>
        <v/>
      </c>
      <c r="C49" s="24" t="str">
        <f aca="false">IF($A49="Seçildi",IF('1-Ders Havuzu'!D49="","",'1-Ders Havuzu'!D49),"")</f>
        <v/>
      </c>
      <c r="D49" s="17" t="str">
        <f aca="false">IF($A49="Seçildi",IF('1-Ders Havuzu'!B49="","",'1-Ders Havuzu'!B49),"")</f>
        <v/>
      </c>
      <c r="E49" s="17" t="str">
        <f aca="false">IF($A49="Seçildi",IF('1-Ders Havuzu'!A49="","",'1-Ders Havuzu'!A49),"")</f>
        <v/>
      </c>
      <c r="F49" s="17" t="str">
        <f aca="false">IF($A49="Seçildi",IF('1-Ders Havuzu'!J49="","",'1-Ders Havuzu'!J49),"")</f>
        <v/>
      </c>
      <c r="G49" s="17" t="str">
        <f aca="false">IF($A49="Seçildi",IF('1-Ders Havuzu'!H49="","",'1-Ders Havuzu'!H49),"")</f>
        <v/>
      </c>
      <c r="H49" s="24" t="str">
        <f aca="false">IF($A49="Seçildi",IF('2-Ders-Öğr.Elemanı Eşleştirme'!H49="","",'2-Ders-Öğr.Elemanı Eşleştirme'!H49),"")</f>
        <v/>
      </c>
      <c r="I49" s="17" t="str">
        <f aca="false">IF($A49&lt;&gt;"Seçildi","",IF($H49="","⚠ Öğretim Elemanı Eksik","✓ Tamam"))</f>
        <v/>
      </c>
    </row>
    <row r="50" customFormat="false" ht="15.75" hidden="false" customHeight="true" outlineLevel="0" collapsed="false">
      <c r="A50" s="19" t="str">
        <f aca="false">'1-Ders Havuzu'!K50</f>
        <v>Seçilmedi</v>
      </c>
      <c r="B50" s="19" t="str">
        <f aca="false">IF($A50="Seçildi",IF('1-Ders Havuzu'!C50="","",'1-Ders Havuzu'!C50),"")</f>
        <v/>
      </c>
      <c r="C50" s="26" t="str">
        <f aca="false">IF($A50="Seçildi",IF('1-Ders Havuzu'!D50="","",'1-Ders Havuzu'!D50),"")</f>
        <v/>
      </c>
      <c r="D50" s="19" t="str">
        <f aca="false">IF($A50="Seçildi",IF('1-Ders Havuzu'!B50="","",'1-Ders Havuzu'!B50),"")</f>
        <v/>
      </c>
      <c r="E50" s="19" t="str">
        <f aca="false">IF($A50="Seçildi",IF('1-Ders Havuzu'!A50="","",'1-Ders Havuzu'!A50),"")</f>
        <v/>
      </c>
      <c r="F50" s="19" t="str">
        <f aca="false">IF($A50="Seçildi",IF('1-Ders Havuzu'!J50="","",'1-Ders Havuzu'!J50),"")</f>
        <v/>
      </c>
      <c r="G50" s="19" t="str">
        <f aca="false">IF($A50="Seçildi",IF('1-Ders Havuzu'!H50="","",'1-Ders Havuzu'!H50),"")</f>
        <v/>
      </c>
      <c r="H50" s="26" t="str">
        <f aca="false">IF($A50="Seçildi",IF('2-Ders-Öğr.Elemanı Eşleştirme'!H50="","",'2-Ders-Öğr.Elemanı Eşleştirme'!H50),"")</f>
        <v/>
      </c>
      <c r="I50" s="19" t="str">
        <f aca="false">IF($A50&lt;&gt;"Seçildi","",IF($H50="","⚠ Öğretim Elemanı Eksik","✓ Tamam"))</f>
        <v/>
      </c>
    </row>
    <row r="51" customFormat="false" ht="15.75" hidden="false" customHeight="true" outlineLevel="0" collapsed="false">
      <c r="A51" s="17" t="str">
        <f aca="false">'1-Ders Havuzu'!K51</f>
        <v>Seçilmedi</v>
      </c>
      <c r="B51" s="17" t="str">
        <f aca="false">IF($A51="Seçildi",IF('1-Ders Havuzu'!C51="","",'1-Ders Havuzu'!C51),"")</f>
        <v/>
      </c>
      <c r="C51" s="24" t="str">
        <f aca="false">IF($A51="Seçildi",IF('1-Ders Havuzu'!D51="","",'1-Ders Havuzu'!D51),"")</f>
        <v/>
      </c>
      <c r="D51" s="17" t="str">
        <f aca="false">IF($A51="Seçildi",IF('1-Ders Havuzu'!B51="","",'1-Ders Havuzu'!B51),"")</f>
        <v/>
      </c>
      <c r="E51" s="17" t="str">
        <f aca="false">IF($A51="Seçildi",IF('1-Ders Havuzu'!A51="","",'1-Ders Havuzu'!A51),"")</f>
        <v/>
      </c>
      <c r="F51" s="17" t="str">
        <f aca="false">IF($A51="Seçildi",IF('1-Ders Havuzu'!J51="","",'1-Ders Havuzu'!J51),"")</f>
        <v/>
      </c>
      <c r="G51" s="17" t="str">
        <f aca="false">IF($A51="Seçildi",IF('1-Ders Havuzu'!H51="","",'1-Ders Havuzu'!H51),"")</f>
        <v/>
      </c>
      <c r="H51" s="24" t="str">
        <f aca="false">IF($A51="Seçildi",IF('2-Ders-Öğr.Elemanı Eşleştirme'!H51="","",'2-Ders-Öğr.Elemanı Eşleştirme'!H51),"")</f>
        <v/>
      </c>
      <c r="I51" s="17" t="str">
        <f aca="false">IF($A51&lt;&gt;"Seçildi","",IF($H51="","⚠ Öğretim Elemanı Eksik","✓ Tamam"))</f>
        <v/>
      </c>
    </row>
    <row r="52" customFormat="false" ht="15.75" hidden="false" customHeight="true" outlineLevel="0" collapsed="false">
      <c r="A52" s="19" t="str">
        <f aca="false">'1-Ders Havuzu'!K52</f>
        <v>Seçilmedi</v>
      </c>
      <c r="B52" s="19" t="str">
        <f aca="false">IF($A52="Seçildi",IF('1-Ders Havuzu'!C52="","",'1-Ders Havuzu'!C52),"")</f>
        <v/>
      </c>
      <c r="C52" s="26" t="str">
        <f aca="false">IF($A52="Seçildi",IF('1-Ders Havuzu'!D52="","",'1-Ders Havuzu'!D52),"")</f>
        <v/>
      </c>
      <c r="D52" s="19" t="str">
        <f aca="false">IF($A52="Seçildi",IF('1-Ders Havuzu'!B52="","",'1-Ders Havuzu'!B52),"")</f>
        <v/>
      </c>
      <c r="E52" s="19" t="str">
        <f aca="false">IF($A52="Seçildi",IF('1-Ders Havuzu'!A52="","",'1-Ders Havuzu'!A52),"")</f>
        <v/>
      </c>
      <c r="F52" s="19" t="str">
        <f aca="false">IF($A52="Seçildi",IF('1-Ders Havuzu'!J52="","",'1-Ders Havuzu'!J52),"")</f>
        <v/>
      </c>
      <c r="G52" s="19" t="str">
        <f aca="false">IF($A52="Seçildi",IF('1-Ders Havuzu'!H52="","",'1-Ders Havuzu'!H52),"")</f>
        <v/>
      </c>
      <c r="H52" s="26" t="str">
        <f aca="false">IF($A52="Seçildi",IF('2-Ders-Öğr.Elemanı Eşleştirme'!H52="","",'2-Ders-Öğr.Elemanı Eşleştirme'!H52),"")</f>
        <v/>
      </c>
      <c r="I52" s="19" t="str">
        <f aca="false">IF($A52&lt;&gt;"Seçildi","",IF($H52="","⚠ Öğretim Elemanı Eksik","✓ Tamam"))</f>
        <v/>
      </c>
    </row>
    <row r="53" customFormat="false" ht="15.75" hidden="false" customHeight="true" outlineLevel="0" collapsed="false">
      <c r="A53" s="17" t="str">
        <f aca="false">'1-Ders Havuzu'!K53</f>
        <v>Seçilmedi</v>
      </c>
      <c r="B53" s="17" t="str">
        <f aca="false">IF($A53="Seçildi",IF('1-Ders Havuzu'!C53="","",'1-Ders Havuzu'!C53),"")</f>
        <v/>
      </c>
      <c r="C53" s="24" t="str">
        <f aca="false">IF($A53="Seçildi",IF('1-Ders Havuzu'!D53="","",'1-Ders Havuzu'!D53),"")</f>
        <v/>
      </c>
      <c r="D53" s="17" t="str">
        <f aca="false">IF($A53="Seçildi",IF('1-Ders Havuzu'!B53="","",'1-Ders Havuzu'!B53),"")</f>
        <v/>
      </c>
      <c r="E53" s="17" t="str">
        <f aca="false">IF($A53="Seçildi",IF('1-Ders Havuzu'!A53="","",'1-Ders Havuzu'!A53),"")</f>
        <v/>
      </c>
      <c r="F53" s="17" t="str">
        <f aca="false">IF($A53="Seçildi",IF('1-Ders Havuzu'!J53="","",'1-Ders Havuzu'!J53),"")</f>
        <v/>
      </c>
      <c r="G53" s="17" t="str">
        <f aca="false">IF($A53="Seçildi",IF('1-Ders Havuzu'!H53="","",'1-Ders Havuzu'!H53),"")</f>
        <v/>
      </c>
      <c r="H53" s="24" t="str">
        <f aca="false">IF($A53="Seçildi",IF('2-Ders-Öğr.Elemanı Eşleştirme'!H53="","",'2-Ders-Öğr.Elemanı Eşleştirme'!H53),"")</f>
        <v/>
      </c>
      <c r="I53" s="17" t="str">
        <f aca="false">IF($A53&lt;&gt;"Seçildi","",IF($H53="","⚠ Öğretim Elemanı Eksik","✓ Tamam"))</f>
        <v/>
      </c>
    </row>
    <row r="54" customFormat="false" ht="15.75" hidden="false" customHeight="true" outlineLevel="0" collapsed="false">
      <c r="A54" s="19" t="str">
        <f aca="false">'1-Ders Havuzu'!K54</f>
        <v>Seçilmedi</v>
      </c>
      <c r="B54" s="19" t="str">
        <f aca="false">IF($A54="Seçildi",IF('1-Ders Havuzu'!C54="","",'1-Ders Havuzu'!C54),"")</f>
        <v/>
      </c>
      <c r="C54" s="26" t="str">
        <f aca="false">IF($A54="Seçildi",IF('1-Ders Havuzu'!D54="","",'1-Ders Havuzu'!D54),"")</f>
        <v/>
      </c>
      <c r="D54" s="19" t="str">
        <f aca="false">IF($A54="Seçildi",IF('1-Ders Havuzu'!B54="","",'1-Ders Havuzu'!B54),"")</f>
        <v/>
      </c>
      <c r="E54" s="19" t="str">
        <f aca="false">IF($A54="Seçildi",IF('1-Ders Havuzu'!A54="","",'1-Ders Havuzu'!A54),"")</f>
        <v/>
      </c>
      <c r="F54" s="19" t="str">
        <f aca="false">IF($A54="Seçildi",IF('1-Ders Havuzu'!J54="","",'1-Ders Havuzu'!J54),"")</f>
        <v/>
      </c>
      <c r="G54" s="19" t="str">
        <f aca="false">IF($A54="Seçildi",IF('1-Ders Havuzu'!H54="","",'1-Ders Havuzu'!H54),"")</f>
        <v/>
      </c>
      <c r="H54" s="26" t="str">
        <f aca="false">IF($A54="Seçildi",IF('2-Ders-Öğr.Elemanı Eşleştirme'!H54="","",'2-Ders-Öğr.Elemanı Eşleştirme'!H54),"")</f>
        <v/>
      </c>
      <c r="I54" s="19" t="str">
        <f aca="false">IF($A54&lt;&gt;"Seçildi","",IF($H54="","⚠ Öğretim Elemanı Eksik","✓ Tamam"))</f>
        <v/>
      </c>
    </row>
    <row r="55" customFormat="false" ht="15.75" hidden="false" customHeight="true" outlineLevel="0" collapsed="false">
      <c r="A55" s="17" t="str">
        <f aca="false">'1-Ders Havuzu'!K55</f>
        <v>Seçilmedi</v>
      </c>
      <c r="B55" s="17" t="str">
        <f aca="false">IF($A55="Seçildi",IF('1-Ders Havuzu'!C55="","",'1-Ders Havuzu'!C55),"")</f>
        <v/>
      </c>
      <c r="C55" s="24" t="str">
        <f aca="false">IF($A55="Seçildi",IF('1-Ders Havuzu'!D55="","",'1-Ders Havuzu'!D55),"")</f>
        <v/>
      </c>
      <c r="D55" s="17" t="str">
        <f aca="false">IF($A55="Seçildi",IF('1-Ders Havuzu'!B55="","",'1-Ders Havuzu'!B55),"")</f>
        <v/>
      </c>
      <c r="E55" s="17" t="str">
        <f aca="false">IF($A55="Seçildi",IF('1-Ders Havuzu'!A55="","",'1-Ders Havuzu'!A55),"")</f>
        <v/>
      </c>
      <c r="F55" s="17" t="str">
        <f aca="false">IF($A55="Seçildi",IF('1-Ders Havuzu'!J55="","",'1-Ders Havuzu'!J55),"")</f>
        <v/>
      </c>
      <c r="G55" s="17" t="str">
        <f aca="false">IF($A55="Seçildi",IF('1-Ders Havuzu'!H55="","",'1-Ders Havuzu'!H55),"")</f>
        <v/>
      </c>
      <c r="H55" s="24" t="str">
        <f aca="false">IF($A55="Seçildi",IF('2-Ders-Öğr.Elemanı Eşleştirme'!H55="","",'2-Ders-Öğr.Elemanı Eşleştirme'!H55),"")</f>
        <v/>
      </c>
      <c r="I55" s="17" t="str">
        <f aca="false">IF($A55&lt;&gt;"Seçildi","",IF($H55="","⚠ Öğretim Elemanı Eksik","✓ Tamam"))</f>
        <v/>
      </c>
    </row>
    <row r="56" customFormat="false" ht="15.75" hidden="false" customHeight="true" outlineLevel="0" collapsed="false">
      <c r="A56" s="19" t="str">
        <f aca="false">'1-Ders Havuzu'!K56</f>
        <v>Seçilmedi</v>
      </c>
      <c r="B56" s="19" t="str">
        <f aca="false">IF($A56="Seçildi",IF('1-Ders Havuzu'!C56="","",'1-Ders Havuzu'!C56),"")</f>
        <v/>
      </c>
      <c r="C56" s="26" t="str">
        <f aca="false">IF($A56="Seçildi",IF('1-Ders Havuzu'!D56="","",'1-Ders Havuzu'!D56),"")</f>
        <v/>
      </c>
      <c r="D56" s="19" t="str">
        <f aca="false">IF($A56="Seçildi",IF('1-Ders Havuzu'!B56="","",'1-Ders Havuzu'!B56),"")</f>
        <v/>
      </c>
      <c r="E56" s="19" t="str">
        <f aca="false">IF($A56="Seçildi",IF('1-Ders Havuzu'!A56="","",'1-Ders Havuzu'!A56),"")</f>
        <v/>
      </c>
      <c r="F56" s="19" t="str">
        <f aca="false">IF($A56="Seçildi",IF('1-Ders Havuzu'!J56="","",'1-Ders Havuzu'!J56),"")</f>
        <v/>
      </c>
      <c r="G56" s="19" t="str">
        <f aca="false">IF($A56="Seçildi",IF('1-Ders Havuzu'!H56="","",'1-Ders Havuzu'!H56),"")</f>
        <v/>
      </c>
      <c r="H56" s="26" t="str">
        <f aca="false">IF($A56="Seçildi",IF('2-Ders-Öğr.Elemanı Eşleştirme'!H56="","",'2-Ders-Öğr.Elemanı Eşleştirme'!H56),"")</f>
        <v/>
      </c>
      <c r="I56" s="19" t="str">
        <f aca="false">IF($A56&lt;&gt;"Seçildi","",IF($H56="","⚠ Öğretim Elemanı Eksik","✓ Tamam"))</f>
        <v/>
      </c>
    </row>
    <row r="57" customFormat="false" ht="15.75" hidden="false" customHeight="true" outlineLevel="0" collapsed="false">
      <c r="A57" s="17" t="str">
        <f aca="false">'1-Ders Havuzu'!K57</f>
        <v>Seçilmedi</v>
      </c>
      <c r="B57" s="17" t="str">
        <f aca="false">IF($A57="Seçildi",IF('1-Ders Havuzu'!C57="","",'1-Ders Havuzu'!C57),"")</f>
        <v/>
      </c>
      <c r="C57" s="24" t="str">
        <f aca="false">IF($A57="Seçildi",IF('1-Ders Havuzu'!D57="","",'1-Ders Havuzu'!D57),"")</f>
        <v/>
      </c>
      <c r="D57" s="17" t="str">
        <f aca="false">IF($A57="Seçildi",IF('1-Ders Havuzu'!B57="","",'1-Ders Havuzu'!B57),"")</f>
        <v/>
      </c>
      <c r="E57" s="17" t="str">
        <f aca="false">IF($A57="Seçildi",IF('1-Ders Havuzu'!A57="","",'1-Ders Havuzu'!A57),"")</f>
        <v/>
      </c>
      <c r="F57" s="17" t="str">
        <f aca="false">IF($A57="Seçildi",IF('1-Ders Havuzu'!J57="","",'1-Ders Havuzu'!J57),"")</f>
        <v/>
      </c>
      <c r="G57" s="17" t="str">
        <f aca="false">IF($A57="Seçildi",IF('1-Ders Havuzu'!H57="","",'1-Ders Havuzu'!H57),"")</f>
        <v/>
      </c>
      <c r="H57" s="24" t="str">
        <f aca="false">IF($A57="Seçildi",IF('2-Ders-Öğr.Elemanı Eşleştirme'!H57="","",'2-Ders-Öğr.Elemanı Eşleştirme'!H57),"")</f>
        <v/>
      </c>
      <c r="I57" s="17" t="str">
        <f aca="false">IF($A57&lt;&gt;"Seçildi","",IF($H57="","⚠ Öğretim Elemanı Eksik","✓ Tamam"))</f>
        <v/>
      </c>
    </row>
    <row r="58" customFormat="false" ht="15.75" hidden="false" customHeight="true" outlineLevel="0" collapsed="false">
      <c r="A58" s="19" t="str">
        <f aca="false">'1-Ders Havuzu'!K58</f>
        <v>Seçilmedi</v>
      </c>
      <c r="B58" s="19" t="str">
        <f aca="false">IF($A58="Seçildi",IF('1-Ders Havuzu'!C58="","",'1-Ders Havuzu'!C58),"")</f>
        <v/>
      </c>
      <c r="C58" s="26" t="str">
        <f aca="false">IF($A58="Seçildi",IF('1-Ders Havuzu'!D58="","",'1-Ders Havuzu'!D58),"")</f>
        <v/>
      </c>
      <c r="D58" s="19" t="str">
        <f aca="false">IF($A58="Seçildi",IF('1-Ders Havuzu'!B58="","",'1-Ders Havuzu'!B58),"")</f>
        <v/>
      </c>
      <c r="E58" s="19" t="str">
        <f aca="false">IF($A58="Seçildi",IF('1-Ders Havuzu'!A58="","",'1-Ders Havuzu'!A58),"")</f>
        <v/>
      </c>
      <c r="F58" s="19" t="str">
        <f aca="false">IF($A58="Seçildi",IF('1-Ders Havuzu'!J58="","",'1-Ders Havuzu'!J58),"")</f>
        <v/>
      </c>
      <c r="G58" s="19" t="str">
        <f aca="false">IF($A58="Seçildi",IF('1-Ders Havuzu'!H58="","",'1-Ders Havuzu'!H58),"")</f>
        <v/>
      </c>
      <c r="H58" s="26" t="str">
        <f aca="false">IF($A58="Seçildi",IF('2-Ders-Öğr.Elemanı Eşleştirme'!H58="","",'2-Ders-Öğr.Elemanı Eşleştirme'!H58),"")</f>
        <v/>
      </c>
      <c r="I58" s="19" t="str">
        <f aca="false">IF($A58&lt;&gt;"Seçildi","",IF($H58="","⚠ Öğretim Elemanı Eksik","✓ Tamam"))</f>
        <v/>
      </c>
    </row>
    <row r="59" customFormat="false" ht="15.75" hidden="false" customHeight="true" outlineLevel="0" collapsed="false">
      <c r="A59" s="17" t="str">
        <f aca="false">'1-Ders Havuzu'!K59</f>
        <v>Seçilmedi</v>
      </c>
      <c r="B59" s="17" t="str">
        <f aca="false">IF($A59="Seçildi",IF('1-Ders Havuzu'!C59="","",'1-Ders Havuzu'!C59),"")</f>
        <v/>
      </c>
      <c r="C59" s="24" t="str">
        <f aca="false">IF($A59="Seçildi",IF('1-Ders Havuzu'!D59="","",'1-Ders Havuzu'!D59),"")</f>
        <v/>
      </c>
      <c r="D59" s="17" t="str">
        <f aca="false">IF($A59="Seçildi",IF('1-Ders Havuzu'!B59="","",'1-Ders Havuzu'!B59),"")</f>
        <v/>
      </c>
      <c r="E59" s="17" t="str">
        <f aca="false">IF($A59="Seçildi",IF('1-Ders Havuzu'!A59="","",'1-Ders Havuzu'!A59),"")</f>
        <v/>
      </c>
      <c r="F59" s="17" t="str">
        <f aca="false">IF($A59="Seçildi",IF('1-Ders Havuzu'!J59="","",'1-Ders Havuzu'!J59),"")</f>
        <v/>
      </c>
      <c r="G59" s="17" t="str">
        <f aca="false">IF($A59="Seçildi",IF('1-Ders Havuzu'!H59="","",'1-Ders Havuzu'!H59),"")</f>
        <v/>
      </c>
      <c r="H59" s="24" t="str">
        <f aca="false">IF($A59="Seçildi",IF('2-Ders-Öğr.Elemanı Eşleştirme'!H59="","",'2-Ders-Öğr.Elemanı Eşleştirme'!H59),"")</f>
        <v/>
      </c>
      <c r="I59" s="17" t="str">
        <f aca="false">IF($A59&lt;&gt;"Seçildi","",IF($H59="","⚠ Öğretim Elemanı Eksik","✓ Tamam"))</f>
        <v/>
      </c>
    </row>
    <row r="60" customFormat="false" ht="15.75" hidden="false" customHeight="true" outlineLevel="0" collapsed="false">
      <c r="A60" s="19" t="str">
        <f aca="false">'1-Ders Havuzu'!K60</f>
        <v>Seçilmedi</v>
      </c>
      <c r="B60" s="19" t="str">
        <f aca="false">IF($A60="Seçildi",IF('1-Ders Havuzu'!C60="","",'1-Ders Havuzu'!C60),"")</f>
        <v/>
      </c>
      <c r="C60" s="26" t="str">
        <f aca="false">IF($A60="Seçildi",IF('1-Ders Havuzu'!D60="","",'1-Ders Havuzu'!D60),"")</f>
        <v/>
      </c>
      <c r="D60" s="19" t="str">
        <f aca="false">IF($A60="Seçildi",IF('1-Ders Havuzu'!B60="","",'1-Ders Havuzu'!B60),"")</f>
        <v/>
      </c>
      <c r="E60" s="19" t="str">
        <f aca="false">IF($A60="Seçildi",IF('1-Ders Havuzu'!A60="","",'1-Ders Havuzu'!A60),"")</f>
        <v/>
      </c>
      <c r="F60" s="19" t="str">
        <f aca="false">IF($A60="Seçildi",IF('1-Ders Havuzu'!J60="","",'1-Ders Havuzu'!J60),"")</f>
        <v/>
      </c>
      <c r="G60" s="19" t="str">
        <f aca="false">IF($A60="Seçildi",IF('1-Ders Havuzu'!H60="","",'1-Ders Havuzu'!H60),"")</f>
        <v/>
      </c>
      <c r="H60" s="26" t="str">
        <f aca="false">IF($A60="Seçildi",IF('2-Ders-Öğr.Elemanı Eşleştirme'!H60="","",'2-Ders-Öğr.Elemanı Eşleştirme'!H60),"")</f>
        <v/>
      </c>
      <c r="I60" s="19" t="str">
        <f aca="false">IF($A60&lt;&gt;"Seçildi","",IF($H60="","⚠ Öğretim Elemanı Eksik","✓ Tamam"))</f>
        <v/>
      </c>
    </row>
    <row r="61" customFormat="false" ht="15.75" hidden="false" customHeight="true" outlineLevel="0" collapsed="false">
      <c r="A61" s="17" t="str">
        <f aca="false">'1-Ders Havuzu'!K61</f>
        <v>Seçilmedi</v>
      </c>
      <c r="B61" s="17" t="str">
        <f aca="false">IF($A61="Seçildi",IF('1-Ders Havuzu'!C61="","",'1-Ders Havuzu'!C61),"")</f>
        <v/>
      </c>
      <c r="C61" s="24" t="str">
        <f aca="false">IF($A61="Seçildi",IF('1-Ders Havuzu'!D61="","",'1-Ders Havuzu'!D61),"")</f>
        <v/>
      </c>
      <c r="D61" s="17" t="str">
        <f aca="false">IF($A61="Seçildi",IF('1-Ders Havuzu'!B61="","",'1-Ders Havuzu'!B61),"")</f>
        <v/>
      </c>
      <c r="E61" s="17" t="str">
        <f aca="false">IF($A61="Seçildi",IF('1-Ders Havuzu'!A61="","",'1-Ders Havuzu'!A61),"")</f>
        <v/>
      </c>
      <c r="F61" s="17" t="str">
        <f aca="false">IF($A61="Seçildi",IF('1-Ders Havuzu'!J61="","",'1-Ders Havuzu'!J61),"")</f>
        <v/>
      </c>
      <c r="G61" s="17" t="str">
        <f aca="false">IF($A61="Seçildi",IF('1-Ders Havuzu'!H61="","",'1-Ders Havuzu'!H61),"")</f>
        <v/>
      </c>
      <c r="H61" s="24" t="str">
        <f aca="false">IF($A61="Seçildi",IF('2-Ders-Öğr.Elemanı Eşleştirme'!H61="","",'2-Ders-Öğr.Elemanı Eşleştirme'!H61),"")</f>
        <v/>
      </c>
      <c r="I61" s="17" t="str">
        <f aca="false">IF($A61&lt;&gt;"Seçildi","",IF($H61="","⚠ Öğretim Elemanı Eksik","✓ Tamam"))</f>
        <v/>
      </c>
    </row>
    <row r="62" customFormat="false" ht="15.75" hidden="false" customHeight="true" outlineLevel="0" collapsed="false">
      <c r="A62" s="19" t="str">
        <f aca="false">'1-Ders Havuzu'!K62</f>
        <v>Seçilmedi</v>
      </c>
      <c r="B62" s="19" t="str">
        <f aca="false">IF($A62="Seçildi",IF('1-Ders Havuzu'!C62="","",'1-Ders Havuzu'!C62),"")</f>
        <v/>
      </c>
      <c r="C62" s="26" t="str">
        <f aca="false">IF($A62="Seçildi",IF('1-Ders Havuzu'!D62="","",'1-Ders Havuzu'!D62),"")</f>
        <v/>
      </c>
      <c r="D62" s="19" t="str">
        <f aca="false">IF($A62="Seçildi",IF('1-Ders Havuzu'!B62="","",'1-Ders Havuzu'!B62),"")</f>
        <v/>
      </c>
      <c r="E62" s="19" t="str">
        <f aca="false">IF($A62="Seçildi",IF('1-Ders Havuzu'!A62="","",'1-Ders Havuzu'!A62),"")</f>
        <v/>
      </c>
      <c r="F62" s="19" t="str">
        <f aca="false">IF($A62="Seçildi",IF('1-Ders Havuzu'!J62="","",'1-Ders Havuzu'!J62),"")</f>
        <v/>
      </c>
      <c r="G62" s="19" t="str">
        <f aca="false">IF($A62="Seçildi",IF('1-Ders Havuzu'!H62="","",'1-Ders Havuzu'!H62),"")</f>
        <v/>
      </c>
      <c r="H62" s="26" t="str">
        <f aca="false">IF($A62="Seçildi",IF('2-Ders-Öğr.Elemanı Eşleştirme'!H62="","",'2-Ders-Öğr.Elemanı Eşleştirme'!H62),"")</f>
        <v/>
      </c>
      <c r="I62" s="19" t="str">
        <f aca="false">IF($A62&lt;&gt;"Seçildi","",IF($H62="","⚠ Öğretim Elemanı Eksik","✓ Tamam"))</f>
        <v/>
      </c>
    </row>
    <row r="63" customFormat="false" ht="15.75" hidden="false" customHeight="true" outlineLevel="0" collapsed="false">
      <c r="A63" s="17" t="str">
        <f aca="false">'1-Ders Havuzu'!K63</f>
        <v>Seçilmedi</v>
      </c>
      <c r="B63" s="17" t="str">
        <f aca="false">IF($A63="Seçildi",IF('1-Ders Havuzu'!C63="","",'1-Ders Havuzu'!C63),"")</f>
        <v/>
      </c>
      <c r="C63" s="24" t="str">
        <f aca="false">IF($A63="Seçildi",IF('1-Ders Havuzu'!D63="","",'1-Ders Havuzu'!D63),"")</f>
        <v/>
      </c>
      <c r="D63" s="17" t="str">
        <f aca="false">IF($A63="Seçildi",IF('1-Ders Havuzu'!B63="","",'1-Ders Havuzu'!B63),"")</f>
        <v/>
      </c>
      <c r="E63" s="17" t="str">
        <f aca="false">IF($A63="Seçildi",IF('1-Ders Havuzu'!A63="","",'1-Ders Havuzu'!A63),"")</f>
        <v/>
      </c>
      <c r="F63" s="17" t="str">
        <f aca="false">IF($A63="Seçildi",IF('1-Ders Havuzu'!J63="","",'1-Ders Havuzu'!J63),"")</f>
        <v/>
      </c>
      <c r="G63" s="17" t="str">
        <f aca="false">IF($A63="Seçildi",IF('1-Ders Havuzu'!H63="","",'1-Ders Havuzu'!H63),"")</f>
        <v/>
      </c>
      <c r="H63" s="24" t="str">
        <f aca="false">IF($A63="Seçildi",IF('2-Ders-Öğr.Elemanı Eşleştirme'!H63="","",'2-Ders-Öğr.Elemanı Eşleştirme'!H63),"")</f>
        <v/>
      </c>
      <c r="I63" s="17" t="str">
        <f aca="false">IF($A63&lt;&gt;"Seçildi","",IF($H63="","⚠ Öğretim Elemanı Eksik","✓ Tamam"))</f>
        <v/>
      </c>
    </row>
    <row r="64" customFormat="false" ht="15.75" hidden="false" customHeight="true" outlineLevel="0" collapsed="false">
      <c r="A64" s="19" t="str">
        <f aca="false">'1-Ders Havuzu'!K64</f>
        <v>Seçilmedi</v>
      </c>
      <c r="B64" s="19" t="str">
        <f aca="false">IF($A64="Seçildi",IF('1-Ders Havuzu'!C64="","",'1-Ders Havuzu'!C64),"")</f>
        <v/>
      </c>
      <c r="C64" s="26" t="str">
        <f aca="false">IF($A64="Seçildi",IF('1-Ders Havuzu'!D64="","",'1-Ders Havuzu'!D64),"")</f>
        <v/>
      </c>
      <c r="D64" s="19" t="str">
        <f aca="false">IF($A64="Seçildi",IF('1-Ders Havuzu'!B64="","",'1-Ders Havuzu'!B64),"")</f>
        <v/>
      </c>
      <c r="E64" s="19" t="str">
        <f aca="false">IF($A64="Seçildi",IF('1-Ders Havuzu'!A64="","",'1-Ders Havuzu'!A64),"")</f>
        <v/>
      </c>
      <c r="F64" s="19" t="str">
        <f aca="false">IF($A64="Seçildi",IF('1-Ders Havuzu'!J64="","",'1-Ders Havuzu'!J64),"")</f>
        <v/>
      </c>
      <c r="G64" s="19" t="str">
        <f aca="false">IF($A64="Seçildi",IF('1-Ders Havuzu'!H64="","",'1-Ders Havuzu'!H64),"")</f>
        <v/>
      </c>
      <c r="H64" s="26" t="str">
        <f aca="false">IF($A64="Seçildi",IF('2-Ders-Öğr.Elemanı Eşleştirme'!H64="","",'2-Ders-Öğr.Elemanı Eşleştirme'!H64),"")</f>
        <v/>
      </c>
      <c r="I64" s="19" t="str">
        <f aca="false">IF($A64&lt;&gt;"Seçildi","",IF($H64="","⚠ Öğretim Elemanı Eksik","✓ Tamam"))</f>
        <v/>
      </c>
    </row>
    <row r="65" customFormat="false" ht="15.75" hidden="false" customHeight="true" outlineLevel="0" collapsed="false">
      <c r="A65" s="17" t="str">
        <f aca="false">'1-Ders Havuzu'!K65</f>
        <v>Seçilmedi</v>
      </c>
      <c r="B65" s="17" t="str">
        <f aca="false">IF($A65="Seçildi",IF('1-Ders Havuzu'!C65="","",'1-Ders Havuzu'!C65),"")</f>
        <v/>
      </c>
      <c r="C65" s="24" t="str">
        <f aca="false">IF($A65="Seçildi",IF('1-Ders Havuzu'!D65="","",'1-Ders Havuzu'!D65),"")</f>
        <v/>
      </c>
      <c r="D65" s="17" t="str">
        <f aca="false">IF($A65="Seçildi",IF('1-Ders Havuzu'!B65="","",'1-Ders Havuzu'!B65),"")</f>
        <v/>
      </c>
      <c r="E65" s="17" t="str">
        <f aca="false">IF($A65="Seçildi",IF('1-Ders Havuzu'!A65="","",'1-Ders Havuzu'!A65),"")</f>
        <v/>
      </c>
      <c r="F65" s="17" t="str">
        <f aca="false">IF($A65="Seçildi",IF('1-Ders Havuzu'!J65="","",'1-Ders Havuzu'!J65),"")</f>
        <v/>
      </c>
      <c r="G65" s="17" t="str">
        <f aca="false">IF($A65="Seçildi",IF('1-Ders Havuzu'!H65="","",'1-Ders Havuzu'!H65),"")</f>
        <v/>
      </c>
      <c r="H65" s="24" t="str">
        <f aca="false">IF($A65="Seçildi",IF('2-Ders-Öğr.Elemanı Eşleştirme'!H65="","",'2-Ders-Öğr.Elemanı Eşleştirme'!H65),"")</f>
        <v/>
      </c>
      <c r="I65" s="17" t="str">
        <f aca="false">IF($A65&lt;&gt;"Seçildi","",IF($H65="","⚠ Öğretim Elemanı Eksik","✓ Tamam"))</f>
        <v/>
      </c>
    </row>
    <row r="66" customFormat="false" ht="15.75" hidden="false" customHeight="true" outlineLevel="0" collapsed="false">
      <c r="A66" s="19" t="str">
        <f aca="false">'1-Ders Havuzu'!K66</f>
        <v>Seçilmedi</v>
      </c>
      <c r="B66" s="19" t="str">
        <f aca="false">IF($A66="Seçildi",IF('1-Ders Havuzu'!C66="","",'1-Ders Havuzu'!C66),"")</f>
        <v/>
      </c>
      <c r="C66" s="26" t="str">
        <f aca="false">IF($A66="Seçildi",IF('1-Ders Havuzu'!D66="","",'1-Ders Havuzu'!D66),"")</f>
        <v/>
      </c>
      <c r="D66" s="19" t="str">
        <f aca="false">IF($A66="Seçildi",IF('1-Ders Havuzu'!B66="","",'1-Ders Havuzu'!B66),"")</f>
        <v/>
      </c>
      <c r="E66" s="19" t="str">
        <f aca="false">IF($A66="Seçildi",IF('1-Ders Havuzu'!A66="","",'1-Ders Havuzu'!A66),"")</f>
        <v/>
      </c>
      <c r="F66" s="19" t="str">
        <f aca="false">IF($A66="Seçildi",IF('1-Ders Havuzu'!J66="","",'1-Ders Havuzu'!J66),"")</f>
        <v/>
      </c>
      <c r="G66" s="19" t="str">
        <f aca="false">IF($A66="Seçildi",IF('1-Ders Havuzu'!H66="","",'1-Ders Havuzu'!H66),"")</f>
        <v/>
      </c>
      <c r="H66" s="26" t="str">
        <f aca="false">IF($A66="Seçildi",IF('2-Ders-Öğr.Elemanı Eşleştirme'!H66="","",'2-Ders-Öğr.Elemanı Eşleştirme'!H66),"")</f>
        <v/>
      </c>
      <c r="I66" s="19" t="str">
        <f aca="false">IF($A66&lt;&gt;"Seçildi","",IF($H66="","⚠ Öğretim Elemanı Eksik","✓ Tamam"))</f>
        <v/>
      </c>
    </row>
    <row r="67" customFormat="false" ht="15.75" hidden="false" customHeight="true" outlineLevel="0" collapsed="false">
      <c r="A67" s="17" t="str">
        <f aca="false">'1-Ders Havuzu'!K67</f>
        <v>Seçilmedi</v>
      </c>
      <c r="B67" s="17" t="str">
        <f aca="false">IF($A67="Seçildi",IF('1-Ders Havuzu'!C67="","",'1-Ders Havuzu'!C67),"")</f>
        <v/>
      </c>
      <c r="C67" s="24" t="str">
        <f aca="false">IF($A67="Seçildi",IF('1-Ders Havuzu'!D67="","",'1-Ders Havuzu'!D67),"")</f>
        <v/>
      </c>
      <c r="D67" s="17" t="str">
        <f aca="false">IF($A67="Seçildi",IF('1-Ders Havuzu'!B67="","",'1-Ders Havuzu'!B67),"")</f>
        <v/>
      </c>
      <c r="E67" s="17" t="str">
        <f aca="false">IF($A67="Seçildi",IF('1-Ders Havuzu'!A67="","",'1-Ders Havuzu'!A67),"")</f>
        <v/>
      </c>
      <c r="F67" s="17" t="str">
        <f aca="false">IF($A67="Seçildi",IF('1-Ders Havuzu'!J67="","",'1-Ders Havuzu'!J67),"")</f>
        <v/>
      </c>
      <c r="G67" s="17" t="str">
        <f aca="false">IF($A67="Seçildi",IF('1-Ders Havuzu'!H67="","",'1-Ders Havuzu'!H67),"")</f>
        <v/>
      </c>
      <c r="H67" s="24" t="str">
        <f aca="false">IF($A67="Seçildi",IF('2-Ders-Öğr.Elemanı Eşleştirme'!H67="","",'2-Ders-Öğr.Elemanı Eşleştirme'!H67),"")</f>
        <v/>
      </c>
      <c r="I67" s="17" t="str">
        <f aca="false">IF($A67&lt;&gt;"Seçildi","",IF($H67="","⚠ Öğretim Elemanı Eksik","✓ Tamam"))</f>
        <v/>
      </c>
    </row>
    <row r="68" customFormat="false" ht="15.75" hidden="false" customHeight="true" outlineLevel="0" collapsed="false">
      <c r="A68" s="19" t="str">
        <f aca="false">'1-Ders Havuzu'!K68</f>
        <v>Seçilmedi</v>
      </c>
      <c r="B68" s="19" t="str">
        <f aca="false">IF($A68="Seçildi",IF('1-Ders Havuzu'!C68="","",'1-Ders Havuzu'!C68),"")</f>
        <v/>
      </c>
      <c r="C68" s="26" t="str">
        <f aca="false">IF($A68="Seçildi",IF('1-Ders Havuzu'!D68="","",'1-Ders Havuzu'!D68),"")</f>
        <v/>
      </c>
      <c r="D68" s="19" t="str">
        <f aca="false">IF($A68="Seçildi",IF('1-Ders Havuzu'!B68="","",'1-Ders Havuzu'!B68),"")</f>
        <v/>
      </c>
      <c r="E68" s="19" t="str">
        <f aca="false">IF($A68="Seçildi",IF('1-Ders Havuzu'!A68="","",'1-Ders Havuzu'!A68),"")</f>
        <v/>
      </c>
      <c r="F68" s="19" t="str">
        <f aca="false">IF($A68="Seçildi",IF('1-Ders Havuzu'!J68="","",'1-Ders Havuzu'!J68),"")</f>
        <v/>
      </c>
      <c r="G68" s="19" t="str">
        <f aca="false">IF($A68="Seçildi",IF('1-Ders Havuzu'!H68="","",'1-Ders Havuzu'!H68),"")</f>
        <v/>
      </c>
      <c r="H68" s="26" t="str">
        <f aca="false">IF($A68="Seçildi",IF('2-Ders-Öğr.Elemanı Eşleştirme'!H68="","",'2-Ders-Öğr.Elemanı Eşleştirme'!H68),"")</f>
        <v/>
      </c>
      <c r="I68" s="19" t="str">
        <f aca="false">IF($A68&lt;&gt;"Seçildi","",IF($H68="","⚠ Öğretim Elemanı Eksik","✓ Tamam"))</f>
        <v/>
      </c>
    </row>
    <row r="69" customFormat="false" ht="15.75" hidden="false" customHeight="true" outlineLevel="0" collapsed="false">
      <c r="A69" s="17" t="str">
        <f aca="false">'1-Ders Havuzu'!K69</f>
        <v>Seçilmedi</v>
      </c>
      <c r="B69" s="17" t="str">
        <f aca="false">IF($A69="Seçildi",IF('1-Ders Havuzu'!C69="","",'1-Ders Havuzu'!C69),"")</f>
        <v/>
      </c>
      <c r="C69" s="24" t="str">
        <f aca="false">IF($A69="Seçildi",IF('1-Ders Havuzu'!D69="","",'1-Ders Havuzu'!D69),"")</f>
        <v/>
      </c>
      <c r="D69" s="17" t="str">
        <f aca="false">IF($A69="Seçildi",IF('1-Ders Havuzu'!B69="","",'1-Ders Havuzu'!B69),"")</f>
        <v/>
      </c>
      <c r="E69" s="17" t="str">
        <f aca="false">IF($A69="Seçildi",IF('1-Ders Havuzu'!A69="","",'1-Ders Havuzu'!A69),"")</f>
        <v/>
      </c>
      <c r="F69" s="17" t="str">
        <f aca="false">IF($A69="Seçildi",IF('1-Ders Havuzu'!J69="","",'1-Ders Havuzu'!J69),"")</f>
        <v/>
      </c>
      <c r="G69" s="17" t="str">
        <f aca="false">IF($A69="Seçildi",IF('1-Ders Havuzu'!H69="","",'1-Ders Havuzu'!H69),"")</f>
        <v/>
      </c>
      <c r="H69" s="24" t="str">
        <f aca="false">IF($A69="Seçildi",IF('2-Ders-Öğr.Elemanı Eşleştirme'!H69="","",'2-Ders-Öğr.Elemanı Eşleştirme'!H69),"")</f>
        <v/>
      </c>
      <c r="I69" s="17" t="str">
        <f aca="false">IF($A69&lt;&gt;"Seçildi","",IF($H69="","⚠ Öğretim Elemanı Eksik","✓ Tamam"))</f>
        <v/>
      </c>
    </row>
    <row r="70" customFormat="false" ht="15.75" hidden="false" customHeight="true" outlineLevel="0" collapsed="false">
      <c r="A70" s="19" t="str">
        <f aca="false">'1-Ders Havuzu'!K70</f>
        <v>Seçilmedi</v>
      </c>
      <c r="B70" s="19" t="str">
        <f aca="false">IF($A70="Seçildi",IF('1-Ders Havuzu'!C70="","",'1-Ders Havuzu'!C70),"")</f>
        <v/>
      </c>
      <c r="C70" s="26" t="str">
        <f aca="false">IF($A70="Seçildi",IF('1-Ders Havuzu'!D70="","",'1-Ders Havuzu'!D70),"")</f>
        <v/>
      </c>
      <c r="D70" s="19" t="str">
        <f aca="false">IF($A70="Seçildi",IF('1-Ders Havuzu'!B70="","",'1-Ders Havuzu'!B70),"")</f>
        <v/>
      </c>
      <c r="E70" s="19" t="str">
        <f aca="false">IF($A70="Seçildi",IF('1-Ders Havuzu'!A70="","",'1-Ders Havuzu'!A70),"")</f>
        <v/>
      </c>
      <c r="F70" s="19" t="str">
        <f aca="false">IF($A70="Seçildi",IF('1-Ders Havuzu'!J70="","",'1-Ders Havuzu'!J70),"")</f>
        <v/>
      </c>
      <c r="G70" s="19" t="str">
        <f aca="false">IF($A70="Seçildi",IF('1-Ders Havuzu'!H70="","",'1-Ders Havuzu'!H70),"")</f>
        <v/>
      </c>
      <c r="H70" s="26" t="str">
        <f aca="false">IF($A70="Seçildi",IF('2-Ders-Öğr.Elemanı Eşleştirme'!H70="","",'2-Ders-Öğr.Elemanı Eşleştirme'!H70),"")</f>
        <v/>
      </c>
      <c r="I70" s="19" t="str">
        <f aca="false">IF($A70&lt;&gt;"Seçildi","",IF($H70="","⚠ Öğretim Elemanı Eksik","✓ Tamam"))</f>
        <v/>
      </c>
    </row>
    <row r="71" customFormat="false" ht="15.75" hidden="false" customHeight="true" outlineLevel="0" collapsed="false">
      <c r="A71" s="17" t="str">
        <f aca="false">'1-Ders Havuzu'!K71</f>
        <v>Seçilmedi</v>
      </c>
      <c r="B71" s="17" t="str">
        <f aca="false">IF($A71="Seçildi",IF('1-Ders Havuzu'!C71="","",'1-Ders Havuzu'!C71),"")</f>
        <v/>
      </c>
      <c r="C71" s="24" t="str">
        <f aca="false">IF($A71="Seçildi",IF('1-Ders Havuzu'!D71="","",'1-Ders Havuzu'!D71),"")</f>
        <v/>
      </c>
      <c r="D71" s="17" t="str">
        <f aca="false">IF($A71="Seçildi",IF('1-Ders Havuzu'!B71="","",'1-Ders Havuzu'!B71),"")</f>
        <v/>
      </c>
      <c r="E71" s="17" t="str">
        <f aca="false">IF($A71="Seçildi",IF('1-Ders Havuzu'!A71="","",'1-Ders Havuzu'!A71),"")</f>
        <v/>
      </c>
      <c r="F71" s="17" t="str">
        <f aca="false">IF($A71="Seçildi",IF('1-Ders Havuzu'!J71="","",'1-Ders Havuzu'!J71),"")</f>
        <v/>
      </c>
      <c r="G71" s="17" t="str">
        <f aca="false">IF($A71="Seçildi",IF('1-Ders Havuzu'!H71="","",'1-Ders Havuzu'!H71),"")</f>
        <v/>
      </c>
      <c r="H71" s="24" t="str">
        <f aca="false">IF($A71="Seçildi",IF('2-Ders-Öğr.Elemanı Eşleştirme'!H71="","",'2-Ders-Öğr.Elemanı Eşleştirme'!H71),"")</f>
        <v/>
      </c>
      <c r="I71" s="17" t="str">
        <f aca="false">IF($A71&lt;&gt;"Seçildi","",IF($H71="","⚠ Öğretim Elemanı Eksik","✓ Tamam"))</f>
        <v/>
      </c>
    </row>
    <row r="72" customFormat="false" ht="15.75" hidden="false" customHeight="true" outlineLevel="0" collapsed="false">
      <c r="A72" s="19" t="str">
        <f aca="false">'1-Ders Havuzu'!K72</f>
        <v>Seçilmedi</v>
      </c>
      <c r="B72" s="19" t="str">
        <f aca="false">IF($A72="Seçildi",IF('1-Ders Havuzu'!C72="","",'1-Ders Havuzu'!C72),"")</f>
        <v/>
      </c>
      <c r="C72" s="26" t="str">
        <f aca="false">IF($A72="Seçildi",IF('1-Ders Havuzu'!D72="","",'1-Ders Havuzu'!D72),"")</f>
        <v/>
      </c>
      <c r="D72" s="19" t="str">
        <f aca="false">IF($A72="Seçildi",IF('1-Ders Havuzu'!B72="","",'1-Ders Havuzu'!B72),"")</f>
        <v/>
      </c>
      <c r="E72" s="19" t="str">
        <f aca="false">IF($A72="Seçildi",IF('1-Ders Havuzu'!A72="","",'1-Ders Havuzu'!A72),"")</f>
        <v/>
      </c>
      <c r="F72" s="19" t="str">
        <f aca="false">IF($A72="Seçildi",IF('1-Ders Havuzu'!J72="","",'1-Ders Havuzu'!J72),"")</f>
        <v/>
      </c>
      <c r="G72" s="19" t="str">
        <f aca="false">IF($A72="Seçildi",IF('1-Ders Havuzu'!H72="","",'1-Ders Havuzu'!H72),"")</f>
        <v/>
      </c>
      <c r="H72" s="26" t="str">
        <f aca="false">IF($A72="Seçildi",IF('2-Ders-Öğr.Elemanı Eşleştirme'!H72="","",'2-Ders-Öğr.Elemanı Eşleştirme'!H72),"")</f>
        <v/>
      </c>
      <c r="I72" s="19" t="str">
        <f aca="false">IF($A72&lt;&gt;"Seçildi","",IF($H72="","⚠ Öğretim Elemanı Eksik","✓ Tamam"))</f>
        <v/>
      </c>
    </row>
    <row r="73" customFormat="false" ht="15.75" hidden="false" customHeight="true" outlineLevel="0" collapsed="false">
      <c r="A73" s="17" t="str">
        <f aca="false">'1-Ders Havuzu'!K73</f>
        <v>Seçilmedi</v>
      </c>
      <c r="B73" s="17" t="str">
        <f aca="false">IF($A73="Seçildi",IF('1-Ders Havuzu'!C73="","",'1-Ders Havuzu'!C73),"")</f>
        <v/>
      </c>
      <c r="C73" s="24" t="str">
        <f aca="false">IF($A73="Seçildi",IF('1-Ders Havuzu'!D73="","",'1-Ders Havuzu'!D73),"")</f>
        <v/>
      </c>
      <c r="D73" s="17" t="str">
        <f aca="false">IF($A73="Seçildi",IF('1-Ders Havuzu'!B73="","",'1-Ders Havuzu'!B73),"")</f>
        <v/>
      </c>
      <c r="E73" s="17" t="str">
        <f aca="false">IF($A73="Seçildi",IF('1-Ders Havuzu'!A73="","",'1-Ders Havuzu'!A73),"")</f>
        <v/>
      </c>
      <c r="F73" s="17" t="str">
        <f aca="false">IF($A73="Seçildi",IF('1-Ders Havuzu'!J73="","",'1-Ders Havuzu'!J73),"")</f>
        <v/>
      </c>
      <c r="G73" s="17" t="str">
        <f aca="false">IF($A73="Seçildi",IF('1-Ders Havuzu'!H73="","",'1-Ders Havuzu'!H73),"")</f>
        <v/>
      </c>
      <c r="H73" s="24" t="str">
        <f aca="false">IF($A73="Seçildi",IF('2-Ders-Öğr.Elemanı Eşleştirme'!H73="","",'2-Ders-Öğr.Elemanı Eşleştirme'!H73),"")</f>
        <v/>
      </c>
      <c r="I73" s="17" t="str">
        <f aca="false">IF($A73&lt;&gt;"Seçildi","",IF($H73="","⚠ Öğretim Elemanı Eksik","✓ Tamam"))</f>
        <v/>
      </c>
    </row>
    <row r="74" customFormat="false" ht="15.75" hidden="false" customHeight="true" outlineLevel="0" collapsed="false">
      <c r="A74" s="19" t="str">
        <f aca="false">'1-Ders Havuzu'!K74</f>
        <v>Seçilmedi</v>
      </c>
      <c r="B74" s="19" t="str">
        <f aca="false">IF($A74="Seçildi",IF('1-Ders Havuzu'!C74="","",'1-Ders Havuzu'!C74),"")</f>
        <v/>
      </c>
      <c r="C74" s="26" t="str">
        <f aca="false">IF($A74="Seçildi",IF('1-Ders Havuzu'!D74="","",'1-Ders Havuzu'!D74),"")</f>
        <v/>
      </c>
      <c r="D74" s="19" t="str">
        <f aca="false">IF($A74="Seçildi",IF('1-Ders Havuzu'!B74="","",'1-Ders Havuzu'!B74),"")</f>
        <v/>
      </c>
      <c r="E74" s="19" t="str">
        <f aca="false">IF($A74="Seçildi",IF('1-Ders Havuzu'!A74="","",'1-Ders Havuzu'!A74),"")</f>
        <v/>
      </c>
      <c r="F74" s="19" t="str">
        <f aca="false">IF($A74="Seçildi",IF('1-Ders Havuzu'!J74="","",'1-Ders Havuzu'!J74),"")</f>
        <v/>
      </c>
      <c r="G74" s="19" t="str">
        <f aca="false">IF($A74="Seçildi",IF('1-Ders Havuzu'!H74="","",'1-Ders Havuzu'!H74),"")</f>
        <v/>
      </c>
      <c r="H74" s="26" t="str">
        <f aca="false">IF($A74="Seçildi",IF('2-Ders-Öğr.Elemanı Eşleştirme'!H74="","",'2-Ders-Öğr.Elemanı Eşleştirme'!H74),"")</f>
        <v/>
      </c>
      <c r="I74" s="19" t="str">
        <f aca="false">IF($A74&lt;&gt;"Seçildi","",IF($H74="","⚠ Öğretim Elemanı Eksik","✓ Tamam"))</f>
        <v/>
      </c>
    </row>
    <row r="75" customFormat="false" ht="15.75" hidden="false" customHeight="true" outlineLevel="0" collapsed="false">
      <c r="A75" s="17" t="str">
        <f aca="false">'1-Ders Havuzu'!K75</f>
        <v>Seçilmedi</v>
      </c>
      <c r="B75" s="17" t="str">
        <f aca="false">IF($A75="Seçildi",IF('1-Ders Havuzu'!C75="","",'1-Ders Havuzu'!C75),"")</f>
        <v/>
      </c>
      <c r="C75" s="24" t="str">
        <f aca="false">IF($A75="Seçildi",IF('1-Ders Havuzu'!D75="","",'1-Ders Havuzu'!D75),"")</f>
        <v/>
      </c>
      <c r="D75" s="17" t="str">
        <f aca="false">IF($A75="Seçildi",IF('1-Ders Havuzu'!B75="","",'1-Ders Havuzu'!B75),"")</f>
        <v/>
      </c>
      <c r="E75" s="17" t="str">
        <f aca="false">IF($A75="Seçildi",IF('1-Ders Havuzu'!A75="","",'1-Ders Havuzu'!A75),"")</f>
        <v/>
      </c>
      <c r="F75" s="17" t="str">
        <f aca="false">IF($A75="Seçildi",IF('1-Ders Havuzu'!J75="","",'1-Ders Havuzu'!J75),"")</f>
        <v/>
      </c>
      <c r="G75" s="17" t="str">
        <f aca="false">IF($A75="Seçildi",IF('1-Ders Havuzu'!H75="","",'1-Ders Havuzu'!H75),"")</f>
        <v/>
      </c>
      <c r="H75" s="24" t="str">
        <f aca="false">IF($A75="Seçildi",IF('2-Ders-Öğr.Elemanı Eşleştirme'!H75="","",'2-Ders-Öğr.Elemanı Eşleştirme'!H75),"")</f>
        <v/>
      </c>
      <c r="I75" s="17" t="str">
        <f aca="false">IF($A75&lt;&gt;"Seçildi","",IF($H75="","⚠ Öğretim Elemanı Eksik","✓ Tamam"))</f>
        <v/>
      </c>
    </row>
    <row r="76" customFormat="false" ht="15.75" hidden="false" customHeight="true" outlineLevel="0" collapsed="false">
      <c r="A76" s="19" t="str">
        <f aca="false">'1-Ders Havuzu'!K76</f>
        <v>Seçilmedi</v>
      </c>
      <c r="B76" s="19" t="str">
        <f aca="false">IF($A76="Seçildi",IF('1-Ders Havuzu'!C76="","",'1-Ders Havuzu'!C76),"")</f>
        <v/>
      </c>
      <c r="C76" s="26" t="str">
        <f aca="false">IF($A76="Seçildi",IF('1-Ders Havuzu'!D76="","",'1-Ders Havuzu'!D76),"")</f>
        <v/>
      </c>
      <c r="D76" s="19" t="str">
        <f aca="false">IF($A76="Seçildi",IF('1-Ders Havuzu'!B76="","",'1-Ders Havuzu'!B76),"")</f>
        <v/>
      </c>
      <c r="E76" s="19" t="str">
        <f aca="false">IF($A76="Seçildi",IF('1-Ders Havuzu'!A76="","",'1-Ders Havuzu'!A76),"")</f>
        <v/>
      </c>
      <c r="F76" s="19" t="str">
        <f aca="false">IF($A76="Seçildi",IF('1-Ders Havuzu'!J76="","",'1-Ders Havuzu'!J76),"")</f>
        <v/>
      </c>
      <c r="G76" s="19" t="str">
        <f aca="false">IF($A76="Seçildi",IF('1-Ders Havuzu'!H76="","",'1-Ders Havuzu'!H76),"")</f>
        <v/>
      </c>
      <c r="H76" s="26" t="str">
        <f aca="false">IF($A76="Seçildi",IF('2-Ders-Öğr.Elemanı Eşleştirme'!H76="","",'2-Ders-Öğr.Elemanı Eşleştirme'!H76),"")</f>
        <v/>
      </c>
      <c r="I76" s="19" t="str">
        <f aca="false">IF($A76&lt;&gt;"Seçildi","",IF($H76="","⚠ Öğretim Elemanı Eksik","✓ Tamam"))</f>
        <v/>
      </c>
    </row>
    <row r="77" customFormat="false" ht="15.75" hidden="false" customHeight="true" outlineLevel="0" collapsed="false">
      <c r="A77" s="17" t="str">
        <f aca="false">'1-Ders Havuzu'!K77</f>
        <v>Seçilmedi</v>
      </c>
      <c r="B77" s="17" t="str">
        <f aca="false">IF($A77="Seçildi",IF('1-Ders Havuzu'!C77="","",'1-Ders Havuzu'!C77),"")</f>
        <v/>
      </c>
      <c r="C77" s="24" t="str">
        <f aca="false">IF($A77="Seçildi",IF('1-Ders Havuzu'!D77="","",'1-Ders Havuzu'!D77),"")</f>
        <v/>
      </c>
      <c r="D77" s="17" t="str">
        <f aca="false">IF($A77="Seçildi",IF('1-Ders Havuzu'!B77="","",'1-Ders Havuzu'!B77),"")</f>
        <v/>
      </c>
      <c r="E77" s="17" t="str">
        <f aca="false">IF($A77="Seçildi",IF('1-Ders Havuzu'!A77="","",'1-Ders Havuzu'!A77),"")</f>
        <v/>
      </c>
      <c r="F77" s="17" t="str">
        <f aca="false">IF($A77="Seçildi",IF('1-Ders Havuzu'!J77="","",'1-Ders Havuzu'!J77),"")</f>
        <v/>
      </c>
      <c r="G77" s="17" t="str">
        <f aca="false">IF($A77="Seçildi",IF('1-Ders Havuzu'!H77="","",'1-Ders Havuzu'!H77),"")</f>
        <v/>
      </c>
      <c r="H77" s="24" t="str">
        <f aca="false">IF($A77="Seçildi",IF('2-Ders-Öğr.Elemanı Eşleştirme'!H77="","",'2-Ders-Öğr.Elemanı Eşleştirme'!H77),"")</f>
        <v/>
      </c>
      <c r="I77" s="17" t="str">
        <f aca="false">IF($A77&lt;&gt;"Seçildi","",IF($H77="","⚠ Öğretim Elemanı Eksik","✓ Tamam"))</f>
        <v/>
      </c>
    </row>
    <row r="78" customFormat="false" ht="15.75" hidden="false" customHeight="true" outlineLevel="0" collapsed="false">
      <c r="A78" s="19" t="str">
        <f aca="false">'1-Ders Havuzu'!K78</f>
        <v>Seçilmedi</v>
      </c>
      <c r="B78" s="19" t="str">
        <f aca="false">IF($A78="Seçildi",IF('1-Ders Havuzu'!C78="","",'1-Ders Havuzu'!C78),"")</f>
        <v/>
      </c>
      <c r="C78" s="26" t="str">
        <f aca="false">IF($A78="Seçildi",IF('1-Ders Havuzu'!D78="","",'1-Ders Havuzu'!D78),"")</f>
        <v/>
      </c>
      <c r="D78" s="19" t="str">
        <f aca="false">IF($A78="Seçildi",IF('1-Ders Havuzu'!B78="","",'1-Ders Havuzu'!B78),"")</f>
        <v/>
      </c>
      <c r="E78" s="19" t="str">
        <f aca="false">IF($A78="Seçildi",IF('1-Ders Havuzu'!A78="","",'1-Ders Havuzu'!A78),"")</f>
        <v/>
      </c>
      <c r="F78" s="19" t="str">
        <f aca="false">IF($A78="Seçildi",IF('1-Ders Havuzu'!J78="","",'1-Ders Havuzu'!J78),"")</f>
        <v/>
      </c>
      <c r="G78" s="19" t="str">
        <f aca="false">IF($A78="Seçildi",IF('1-Ders Havuzu'!H78="","",'1-Ders Havuzu'!H78),"")</f>
        <v/>
      </c>
      <c r="H78" s="26" t="str">
        <f aca="false">IF($A78="Seçildi",IF('2-Ders-Öğr.Elemanı Eşleştirme'!H78="","",'2-Ders-Öğr.Elemanı Eşleştirme'!H78),"")</f>
        <v/>
      </c>
      <c r="I78" s="19" t="str">
        <f aca="false">IF($A78&lt;&gt;"Seçildi","",IF($H78="","⚠ Öğretim Elemanı Eksik","✓ Tamam"))</f>
        <v/>
      </c>
    </row>
    <row r="79" customFormat="false" ht="15.75" hidden="false" customHeight="true" outlineLevel="0" collapsed="false">
      <c r="A79" s="17" t="str">
        <f aca="false">'1-Ders Havuzu'!K79</f>
        <v>Seçilmedi</v>
      </c>
      <c r="B79" s="17" t="str">
        <f aca="false">IF($A79="Seçildi",IF('1-Ders Havuzu'!C79="","",'1-Ders Havuzu'!C79),"")</f>
        <v/>
      </c>
      <c r="C79" s="24" t="str">
        <f aca="false">IF($A79="Seçildi",IF('1-Ders Havuzu'!D79="","",'1-Ders Havuzu'!D79),"")</f>
        <v/>
      </c>
      <c r="D79" s="17" t="str">
        <f aca="false">IF($A79="Seçildi",IF('1-Ders Havuzu'!B79="","",'1-Ders Havuzu'!B79),"")</f>
        <v/>
      </c>
      <c r="E79" s="17" t="str">
        <f aca="false">IF($A79="Seçildi",IF('1-Ders Havuzu'!A79="","",'1-Ders Havuzu'!A79),"")</f>
        <v/>
      </c>
      <c r="F79" s="17" t="str">
        <f aca="false">IF($A79="Seçildi",IF('1-Ders Havuzu'!J79="","",'1-Ders Havuzu'!J79),"")</f>
        <v/>
      </c>
      <c r="G79" s="17" t="str">
        <f aca="false">IF($A79="Seçildi",IF('1-Ders Havuzu'!H79="","",'1-Ders Havuzu'!H79),"")</f>
        <v/>
      </c>
      <c r="H79" s="24" t="str">
        <f aca="false">IF($A79="Seçildi",IF('2-Ders-Öğr.Elemanı Eşleştirme'!H79="","",'2-Ders-Öğr.Elemanı Eşleştirme'!H79),"")</f>
        <v/>
      </c>
      <c r="I79" s="17" t="str">
        <f aca="false">IF($A79&lt;&gt;"Seçildi","",IF($H79="","⚠ Öğretim Elemanı Eksik","✓ Tamam"))</f>
        <v/>
      </c>
    </row>
    <row r="80" customFormat="false" ht="15.75" hidden="false" customHeight="true" outlineLevel="0" collapsed="false">
      <c r="A80" s="19" t="str">
        <f aca="false">'1-Ders Havuzu'!K80</f>
        <v>Seçilmedi</v>
      </c>
      <c r="B80" s="19" t="str">
        <f aca="false">IF($A80="Seçildi",IF('1-Ders Havuzu'!C80="","",'1-Ders Havuzu'!C80),"")</f>
        <v/>
      </c>
      <c r="C80" s="26" t="str">
        <f aca="false">IF($A80="Seçildi",IF('1-Ders Havuzu'!D80="","",'1-Ders Havuzu'!D80),"")</f>
        <v/>
      </c>
      <c r="D80" s="19" t="str">
        <f aca="false">IF($A80="Seçildi",IF('1-Ders Havuzu'!B80="","",'1-Ders Havuzu'!B80),"")</f>
        <v/>
      </c>
      <c r="E80" s="19" t="str">
        <f aca="false">IF($A80="Seçildi",IF('1-Ders Havuzu'!A80="","",'1-Ders Havuzu'!A80),"")</f>
        <v/>
      </c>
      <c r="F80" s="19" t="str">
        <f aca="false">IF($A80="Seçildi",IF('1-Ders Havuzu'!J80="","",'1-Ders Havuzu'!J80),"")</f>
        <v/>
      </c>
      <c r="G80" s="19" t="str">
        <f aca="false">IF($A80="Seçildi",IF('1-Ders Havuzu'!H80="","",'1-Ders Havuzu'!H80),"")</f>
        <v/>
      </c>
      <c r="H80" s="26" t="str">
        <f aca="false">IF($A80="Seçildi",IF('2-Ders-Öğr.Elemanı Eşleştirme'!H80="","",'2-Ders-Öğr.Elemanı Eşleştirme'!H80),"")</f>
        <v/>
      </c>
      <c r="I80" s="19" t="str">
        <f aca="false">IF($A80&lt;&gt;"Seçildi","",IF($H80="","⚠ Öğretim Elemanı Eksik","✓ Tamam"))</f>
        <v/>
      </c>
    </row>
    <row r="81" customFormat="false" ht="15.75" hidden="false" customHeight="true" outlineLevel="0" collapsed="false">
      <c r="A81" s="17" t="str">
        <f aca="false">'1-Ders Havuzu'!K81</f>
        <v>Seçilmedi</v>
      </c>
      <c r="B81" s="17" t="str">
        <f aca="false">IF($A81="Seçildi",IF('1-Ders Havuzu'!C81="","",'1-Ders Havuzu'!C81),"")</f>
        <v/>
      </c>
      <c r="C81" s="24" t="str">
        <f aca="false">IF($A81="Seçildi",IF('1-Ders Havuzu'!D81="","",'1-Ders Havuzu'!D81),"")</f>
        <v/>
      </c>
      <c r="D81" s="17" t="str">
        <f aca="false">IF($A81="Seçildi",IF('1-Ders Havuzu'!B81="","",'1-Ders Havuzu'!B81),"")</f>
        <v/>
      </c>
      <c r="E81" s="17" t="str">
        <f aca="false">IF($A81="Seçildi",IF('1-Ders Havuzu'!A81="","",'1-Ders Havuzu'!A81),"")</f>
        <v/>
      </c>
      <c r="F81" s="17" t="str">
        <f aca="false">IF($A81="Seçildi",IF('1-Ders Havuzu'!J81="","",'1-Ders Havuzu'!J81),"")</f>
        <v/>
      </c>
      <c r="G81" s="17" t="str">
        <f aca="false">IF($A81="Seçildi",IF('1-Ders Havuzu'!H81="","",'1-Ders Havuzu'!H81),"")</f>
        <v/>
      </c>
      <c r="H81" s="24" t="str">
        <f aca="false">IF($A81="Seçildi",IF('2-Ders-Öğr.Elemanı Eşleştirme'!H81="","",'2-Ders-Öğr.Elemanı Eşleştirme'!H81),"")</f>
        <v/>
      </c>
      <c r="I81" s="17" t="str">
        <f aca="false">IF($A81&lt;&gt;"Seçildi","",IF($H81="","⚠ Öğretim Elemanı Eksik","✓ Tamam"))</f>
        <v/>
      </c>
    </row>
    <row r="82" customFormat="false" ht="15.75" hidden="false" customHeight="true" outlineLevel="0" collapsed="false">
      <c r="A82" s="19" t="str">
        <f aca="false">'1-Ders Havuzu'!K82</f>
        <v>Seçilmedi</v>
      </c>
      <c r="B82" s="19" t="str">
        <f aca="false">IF($A82="Seçildi",IF('1-Ders Havuzu'!C82="","",'1-Ders Havuzu'!C82),"")</f>
        <v/>
      </c>
      <c r="C82" s="26" t="str">
        <f aca="false">IF($A82="Seçildi",IF('1-Ders Havuzu'!D82="","",'1-Ders Havuzu'!D82),"")</f>
        <v/>
      </c>
      <c r="D82" s="19" t="str">
        <f aca="false">IF($A82="Seçildi",IF('1-Ders Havuzu'!B82="","",'1-Ders Havuzu'!B82),"")</f>
        <v/>
      </c>
      <c r="E82" s="19" t="str">
        <f aca="false">IF($A82="Seçildi",IF('1-Ders Havuzu'!A82="","",'1-Ders Havuzu'!A82),"")</f>
        <v/>
      </c>
      <c r="F82" s="19" t="str">
        <f aca="false">IF($A82="Seçildi",IF('1-Ders Havuzu'!J82="","",'1-Ders Havuzu'!J82),"")</f>
        <v/>
      </c>
      <c r="G82" s="19" t="str">
        <f aca="false">IF($A82="Seçildi",IF('1-Ders Havuzu'!H82="","",'1-Ders Havuzu'!H82),"")</f>
        <v/>
      </c>
      <c r="H82" s="26" t="str">
        <f aca="false">IF($A82="Seçildi",IF('2-Ders-Öğr.Elemanı Eşleştirme'!H82="","",'2-Ders-Öğr.Elemanı Eşleştirme'!H82),"")</f>
        <v/>
      </c>
      <c r="I82" s="19" t="str">
        <f aca="false">IF($A82&lt;&gt;"Seçildi","",IF($H82="","⚠ Öğretim Elemanı Eksik","✓ Tamam"))</f>
        <v/>
      </c>
    </row>
    <row r="83" customFormat="false" ht="15.75" hidden="false" customHeight="true" outlineLevel="0" collapsed="false">
      <c r="A83" s="17" t="str">
        <f aca="false">'1-Ders Havuzu'!K83</f>
        <v>Seçilmedi</v>
      </c>
      <c r="B83" s="17" t="str">
        <f aca="false">IF($A83="Seçildi",IF('1-Ders Havuzu'!C83="","",'1-Ders Havuzu'!C83),"")</f>
        <v/>
      </c>
      <c r="C83" s="24" t="str">
        <f aca="false">IF($A83="Seçildi",IF('1-Ders Havuzu'!D83="","",'1-Ders Havuzu'!D83),"")</f>
        <v/>
      </c>
      <c r="D83" s="17" t="str">
        <f aca="false">IF($A83="Seçildi",IF('1-Ders Havuzu'!B83="","",'1-Ders Havuzu'!B83),"")</f>
        <v/>
      </c>
      <c r="E83" s="17" t="str">
        <f aca="false">IF($A83="Seçildi",IF('1-Ders Havuzu'!A83="","",'1-Ders Havuzu'!A83),"")</f>
        <v/>
      </c>
      <c r="F83" s="17" t="str">
        <f aca="false">IF($A83="Seçildi",IF('1-Ders Havuzu'!J83="","",'1-Ders Havuzu'!J83),"")</f>
        <v/>
      </c>
      <c r="G83" s="17" t="str">
        <f aca="false">IF($A83="Seçildi",IF('1-Ders Havuzu'!H83="","",'1-Ders Havuzu'!H83),"")</f>
        <v/>
      </c>
      <c r="H83" s="24" t="str">
        <f aca="false">IF($A83="Seçildi",IF('2-Ders-Öğr.Elemanı Eşleştirme'!H83="","",'2-Ders-Öğr.Elemanı Eşleştirme'!H83),"")</f>
        <v/>
      </c>
      <c r="I83" s="17" t="str">
        <f aca="false">IF($A83&lt;&gt;"Seçildi","",IF($H83="","⚠ Öğretim Elemanı Eksik","✓ Tamam"))</f>
        <v/>
      </c>
    </row>
    <row r="84" customFormat="false" ht="15.75" hidden="false" customHeight="true" outlineLevel="0" collapsed="false">
      <c r="A84" s="19" t="str">
        <f aca="false">'1-Ders Havuzu'!K84</f>
        <v>Seçilmedi</v>
      </c>
      <c r="B84" s="19" t="str">
        <f aca="false">IF($A84="Seçildi",IF('1-Ders Havuzu'!C84="","",'1-Ders Havuzu'!C84),"")</f>
        <v/>
      </c>
      <c r="C84" s="26" t="str">
        <f aca="false">IF($A84="Seçildi",IF('1-Ders Havuzu'!D84="","",'1-Ders Havuzu'!D84),"")</f>
        <v/>
      </c>
      <c r="D84" s="19" t="str">
        <f aca="false">IF($A84="Seçildi",IF('1-Ders Havuzu'!B84="","",'1-Ders Havuzu'!B84),"")</f>
        <v/>
      </c>
      <c r="E84" s="19" t="str">
        <f aca="false">IF($A84="Seçildi",IF('1-Ders Havuzu'!A84="","",'1-Ders Havuzu'!A84),"")</f>
        <v/>
      </c>
      <c r="F84" s="19" t="str">
        <f aca="false">IF($A84="Seçildi",IF('1-Ders Havuzu'!J84="","",'1-Ders Havuzu'!J84),"")</f>
        <v/>
      </c>
      <c r="G84" s="19" t="str">
        <f aca="false">IF($A84="Seçildi",IF('1-Ders Havuzu'!H84="","",'1-Ders Havuzu'!H84),"")</f>
        <v/>
      </c>
      <c r="H84" s="26" t="str">
        <f aca="false">IF($A84="Seçildi",IF('2-Ders-Öğr.Elemanı Eşleştirme'!H84="","",'2-Ders-Öğr.Elemanı Eşleştirme'!H84),"")</f>
        <v/>
      </c>
      <c r="I84" s="19" t="str">
        <f aca="false">IF($A84&lt;&gt;"Seçildi","",IF($H84="","⚠ Öğretim Elemanı Eksik","✓ Tamam"))</f>
        <v/>
      </c>
    </row>
    <row r="85" customFormat="false" ht="15.75" hidden="false" customHeight="true" outlineLevel="0" collapsed="false">
      <c r="A85" s="17" t="str">
        <f aca="false">'1-Ders Havuzu'!K85</f>
        <v>Seçilmedi</v>
      </c>
      <c r="B85" s="17" t="str">
        <f aca="false">IF($A85="Seçildi",IF('1-Ders Havuzu'!C85="","",'1-Ders Havuzu'!C85),"")</f>
        <v/>
      </c>
      <c r="C85" s="24" t="str">
        <f aca="false">IF($A85="Seçildi",IF('1-Ders Havuzu'!D85="","",'1-Ders Havuzu'!D85),"")</f>
        <v/>
      </c>
      <c r="D85" s="17" t="str">
        <f aca="false">IF($A85="Seçildi",IF('1-Ders Havuzu'!B85="","",'1-Ders Havuzu'!B85),"")</f>
        <v/>
      </c>
      <c r="E85" s="17" t="str">
        <f aca="false">IF($A85="Seçildi",IF('1-Ders Havuzu'!A85="","",'1-Ders Havuzu'!A85),"")</f>
        <v/>
      </c>
      <c r="F85" s="17" t="str">
        <f aca="false">IF($A85="Seçildi",IF('1-Ders Havuzu'!J85="","",'1-Ders Havuzu'!J85),"")</f>
        <v/>
      </c>
      <c r="G85" s="17" t="str">
        <f aca="false">IF($A85="Seçildi",IF('1-Ders Havuzu'!H85="","",'1-Ders Havuzu'!H85),"")</f>
        <v/>
      </c>
      <c r="H85" s="24" t="str">
        <f aca="false">IF($A85="Seçildi",IF('2-Ders-Öğr.Elemanı Eşleştirme'!H85="","",'2-Ders-Öğr.Elemanı Eşleştirme'!H85),"")</f>
        <v/>
      </c>
      <c r="I85" s="17" t="str">
        <f aca="false">IF($A85&lt;&gt;"Seçildi","",IF($H85="","⚠ Öğretim Elemanı Eksik","✓ Tamam"))</f>
        <v/>
      </c>
    </row>
    <row r="86" customFormat="false" ht="15.75" hidden="false" customHeight="true" outlineLevel="0" collapsed="false">
      <c r="A86" s="19" t="str">
        <f aca="false">'1-Ders Havuzu'!K86</f>
        <v>Seçilmedi</v>
      </c>
      <c r="B86" s="19" t="str">
        <f aca="false">IF($A86="Seçildi",IF('1-Ders Havuzu'!C86="","",'1-Ders Havuzu'!C86),"")</f>
        <v/>
      </c>
      <c r="C86" s="26" t="str">
        <f aca="false">IF($A86="Seçildi",IF('1-Ders Havuzu'!D86="","",'1-Ders Havuzu'!D86),"")</f>
        <v/>
      </c>
      <c r="D86" s="19" t="str">
        <f aca="false">IF($A86="Seçildi",IF('1-Ders Havuzu'!B86="","",'1-Ders Havuzu'!B86),"")</f>
        <v/>
      </c>
      <c r="E86" s="19" t="str">
        <f aca="false">IF($A86="Seçildi",IF('1-Ders Havuzu'!A86="","",'1-Ders Havuzu'!A86),"")</f>
        <v/>
      </c>
      <c r="F86" s="19" t="str">
        <f aca="false">IF($A86="Seçildi",IF('1-Ders Havuzu'!J86="","",'1-Ders Havuzu'!J86),"")</f>
        <v/>
      </c>
      <c r="G86" s="19" t="str">
        <f aca="false">IF($A86="Seçildi",IF('1-Ders Havuzu'!H86="","",'1-Ders Havuzu'!H86),"")</f>
        <v/>
      </c>
      <c r="H86" s="26" t="str">
        <f aca="false">IF($A86="Seçildi",IF('2-Ders-Öğr.Elemanı Eşleştirme'!H86="","",'2-Ders-Öğr.Elemanı Eşleştirme'!H86),"")</f>
        <v/>
      </c>
      <c r="I86" s="19" t="str">
        <f aca="false">IF($A86&lt;&gt;"Seçildi","",IF($H86="","⚠ Öğretim Elemanı Eksik","✓ Tamam"))</f>
        <v/>
      </c>
    </row>
    <row r="87" customFormat="false" ht="15.75" hidden="false" customHeight="true" outlineLevel="0" collapsed="false">
      <c r="A87" s="17" t="str">
        <f aca="false">'1-Ders Havuzu'!K87</f>
        <v>Seçilmedi</v>
      </c>
      <c r="B87" s="17" t="str">
        <f aca="false">IF($A87="Seçildi",IF('1-Ders Havuzu'!C87="","",'1-Ders Havuzu'!C87),"")</f>
        <v/>
      </c>
      <c r="C87" s="24" t="str">
        <f aca="false">IF($A87="Seçildi",IF('1-Ders Havuzu'!D87="","",'1-Ders Havuzu'!D87),"")</f>
        <v/>
      </c>
      <c r="D87" s="17" t="str">
        <f aca="false">IF($A87="Seçildi",IF('1-Ders Havuzu'!B87="","",'1-Ders Havuzu'!B87),"")</f>
        <v/>
      </c>
      <c r="E87" s="17" t="str">
        <f aca="false">IF($A87="Seçildi",IF('1-Ders Havuzu'!A87="","",'1-Ders Havuzu'!A87),"")</f>
        <v/>
      </c>
      <c r="F87" s="17" t="str">
        <f aca="false">IF($A87="Seçildi",IF('1-Ders Havuzu'!J87="","",'1-Ders Havuzu'!J87),"")</f>
        <v/>
      </c>
      <c r="G87" s="17" t="str">
        <f aca="false">IF($A87="Seçildi",IF('1-Ders Havuzu'!H87="","",'1-Ders Havuzu'!H87),"")</f>
        <v/>
      </c>
      <c r="H87" s="24" t="str">
        <f aca="false">IF($A87="Seçildi",IF('2-Ders-Öğr.Elemanı Eşleştirme'!H87="","",'2-Ders-Öğr.Elemanı Eşleştirme'!H87),"")</f>
        <v/>
      </c>
      <c r="I87" s="17" t="str">
        <f aca="false">IF($A87&lt;&gt;"Seçildi","",IF($H87="","⚠ Öğretim Elemanı Eksik","✓ Tamam"))</f>
        <v/>
      </c>
    </row>
    <row r="88" customFormat="false" ht="15.75" hidden="false" customHeight="true" outlineLevel="0" collapsed="false">
      <c r="A88" s="19" t="str">
        <f aca="false">'1-Ders Havuzu'!K88</f>
        <v>Seçilmedi</v>
      </c>
      <c r="B88" s="19" t="str">
        <f aca="false">IF($A88="Seçildi",IF('1-Ders Havuzu'!C88="","",'1-Ders Havuzu'!C88),"")</f>
        <v/>
      </c>
      <c r="C88" s="26" t="str">
        <f aca="false">IF($A88="Seçildi",IF('1-Ders Havuzu'!D88="","",'1-Ders Havuzu'!D88),"")</f>
        <v/>
      </c>
      <c r="D88" s="19" t="str">
        <f aca="false">IF($A88="Seçildi",IF('1-Ders Havuzu'!B88="","",'1-Ders Havuzu'!B88),"")</f>
        <v/>
      </c>
      <c r="E88" s="19" t="str">
        <f aca="false">IF($A88="Seçildi",IF('1-Ders Havuzu'!A88="","",'1-Ders Havuzu'!A88),"")</f>
        <v/>
      </c>
      <c r="F88" s="19" t="str">
        <f aca="false">IF($A88="Seçildi",IF('1-Ders Havuzu'!J88="","",'1-Ders Havuzu'!J88),"")</f>
        <v/>
      </c>
      <c r="G88" s="19" t="str">
        <f aca="false">IF($A88="Seçildi",IF('1-Ders Havuzu'!H88="","",'1-Ders Havuzu'!H88),"")</f>
        <v/>
      </c>
      <c r="H88" s="26" t="str">
        <f aca="false">IF($A88="Seçildi",IF('2-Ders-Öğr.Elemanı Eşleştirme'!H88="","",'2-Ders-Öğr.Elemanı Eşleştirme'!H88),"")</f>
        <v/>
      </c>
      <c r="I88" s="19" t="str">
        <f aca="false">IF($A88&lt;&gt;"Seçildi","",IF($H88="","⚠ Öğretim Elemanı Eksik","✓ Tamam"))</f>
        <v/>
      </c>
    </row>
    <row r="89" customFormat="false" ht="15.75" hidden="false" customHeight="true" outlineLevel="0" collapsed="false">
      <c r="A89" s="17" t="str">
        <f aca="false">'1-Ders Havuzu'!K89</f>
        <v>Seçilmedi</v>
      </c>
      <c r="B89" s="17" t="str">
        <f aca="false">IF($A89="Seçildi",IF('1-Ders Havuzu'!C89="","",'1-Ders Havuzu'!C89),"")</f>
        <v/>
      </c>
      <c r="C89" s="24" t="str">
        <f aca="false">IF($A89="Seçildi",IF('1-Ders Havuzu'!D89="","",'1-Ders Havuzu'!D89),"")</f>
        <v/>
      </c>
      <c r="D89" s="17" t="str">
        <f aca="false">IF($A89="Seçildi",IF('1-Ders Havuzu'!B89="","",'1-Ders Havuzu'!B89),"")</f>
        <v/>
      </c>
      <c r="E89" s="17" t="str">
        <f aca="false">IF($A89="Seçildi",IF('1-Ders Havuzu'!A89="","",'1-Ders Havuzu'!A89),"")</f>
        <v/>
      </c>
      <c r="F89" s="17" t="str">
        <f aca="false">IF($A89="Seçildi",IF('1-Ders Havuzu'!J89="","",'1-Ders Havuzu'!J89),"")</f>
        <v/>
      </c>
      <c r="G89" s="17" t="str">
        <f aca="false">IF($A89="Seçildi",IF('1-Ders Havuzu'!H89="","",'1-Ders Havuzu'!H89),"")</f>
        <v/>
      </c>
      <c r="H89" s="24" t="str">
        <f aca="false">IF($A89="Seçildi",IF('2-Ders-Öğr.Elemanı Eşleştirme'!H89="","",'2-Ders-Öğr.Elemanı Eşleştirme'!H89),"")</f>
        <v/>
      </c>
      <c r="I89" s="17" t="str">
        <f aca="false">IF($A89&lt;&gt;"Seçildi","",IF($H89="","⚠ Öğretim Elemanı Eksik","✓ Tamam"))</f>
        <v/>
      </c>
    </row>
    <row r="90" customFormat="false" ht="15.75" hidden="false" customHeight="true" outlineLevel="0" collapsed="false">
      <c r="A90" s="19" t="str">
        <f aca="false">'1-Ders Havuzu'!K90</f>
        <v>Seçilmedi</v>
      </c>
      <c r="B90" s="19" t="str">
        <f aca="false">IF($A90="Seçildi",IF('1-Ders Havuzu'!C90="","",'1-Ders Havuzu'!C90),"")</f>
        <v/>
      </c>
      <c r="C90" s="26" t="str">
        <f aca="false">IF($A90="Seçildi",IF('1-Ders Havuzu'!D90="","",'1-Ders Havuzu'!D90),"")</f>
        <v/>
      </c>
      <c r="D90" s="19" t="str">
        <f aca="false">IF($A90="Seçildi",IF('1-Ders Havuzu'!B90="","",'1-Ders Havuzu'!B90),"")</f>
        <v/>
      </c>
      <c r="E90" s="19" t="str">
        <f aca="false">IF($A90="Seçildi",IF('1-Ders Havuzu'!A90="","",'1-Ders Havuzu'!A90),"")</f>
        <v/>
      </c>
      <c r="F90" s="19" t="str">
        <f aca="false">IF($A90="Seçildi",IF('1-Ders Havuzu'!J90="","",'1-Ders Havuzu'!J90),"")</f>
        <v/>
      </c>
      <c r="G90" s="19" t="str">
        <f aca="false">IF($A90="Seçildi",IF('1-Ders Havuzu'!H90="","",'1-Ders Havuzu'!H90),"")</f>
        <v/>
      </c>
      <c r="H90" s="26" t="str">
        <f aca="false">IF($A90="Seçildi",IF('2-Ders-Öğr.Elemanı Eşleştirme'!H90="","",'2-Ders-Öğr.Elemanı Eşleştirme'!H90),"")</f>
        <v/>
      </c>
      <c r="I90" s="19" t="str">
        <f aca="false">IF($A90&lt;&gt;"Seçildi","",IF($H90="","⚠ Öğretim Elemanı Eksik","✓ Tamam"))</f>
        <v/>
      </c>
    </row>
    <row r="91" customFormat="false" ht="15.75" hidden="false" customHeight="true" outlineLevel="0" collapsed="false">
      <c r="A91" s="17" t="str">
        <f aca="false">'1-Ders Havuzu'!K91</f>
        <v>Seçilmedi</v>
      </c>
      <c r="B91" s="17" t="str">
        <f aca="false">IF($A91="Seçildi",IF('1-Ders Havuzu'!C91="","",'1-Ders Havuzu'!C91),"")</f>
        <v/>
      </c>
      <c r="C91" s="24" t="str">
        <f aca="false">IF($A91="Seçildi",IF('1-Ders Havuzu'!D91="","",'1-Ders Havuzu'!D91),"")</f>
        <v/>
      </c>
      <c r="D91" s="17" t="str">
        <f aca="false">IF($A91="Seçildi",IF('1-Ders Havuzu'!B91="","",'1-Ders Havuzu'!B91),"")</f>
        <v/>
      </c>
      <c r="E91" s="17" t="str">
        <f aca="false">IF($A91="Seçildi",IF('1-Ders Havuzu'!A91="","",'1-Ders Havuzu'!A91),"")</f>
        <v/>
      </c>
      <c r="F91" s="17" t="str">
        <f aca="false">IF($A91="Seçildi",IF('1-Ders Havuzu'!J91="","",'1-Ders Havuzu'!J91),"")</f>
        <v/>
      </c>
      <c r="G91" s="17" t="str">
        <f aca="false">IF($A91="Seçildi",IF('1-Ders Havuzu'!H91="","",'1-Ders Havuzu'!H91),"")</f>
        <v/>
      </c>
      <c r="H91" s="24" t="str">
        <f aca="false">IF($A91="Seçildi",IF('2-Ders-Öğr.Elemanı Eşleştirme'!H91="","",'2-Ders-Öğr.Elemanı Eşleştirme'!H91),"")</f>
        <v/>
      </c>
      <c r="I91" s="17" t="str">
        <f aca="false">IF($A91&lt;&gt;"Seçildi","",IF($H91="","⚠ Öğretim Elemanı Eksik","✓ Tamam"))</f>
        <v/>
      </c>
    </row>
    <row r="92" customFormat="false" ht="15.75" hidden="false" customHeight="true" outlineLevel="0" collapsed="false">
      <c r="A92" s="19" t="str">
        <f aca="false">'1-Ders Havuzu'!K92</f>
        <v>Seçilmedi</v>
      </c>
      <c r="B92" s="19" t="str">
        <f aca="false">IF($A92="Seçildi",IF('1-Ders Havuzu'!C92="","",'1-Ders Havuzu'!C92),"")</f>
        <v/>
      </c>
      <c r="C92" s="26" t="str">
        <f aca="false">IF($A92="Seçildi",IF('1-Ders Havuzu'!D92="","",'1-Ders Havuzu'!D92),"")</f>
        <v/>
      </c>
      <c r="D92" s="19" t="str">
        <f aca="false">IF($A92="Seçildi",IF('1-Ders Havuzu'!B92="","",'1-Ders Havuzu'!B92),"")</f>
        <v/>
      </c>
      <c r="E92" s="19" t="str">
        <f aca="false">IF($A92="Seçildi",IF('1-Ders Havuzu'!A92="","",'1-Ders Havuzu'!A92),"")</f>
        <v/>
      </c>
      <c r="F92" s="19" t="str">
        <f aca="false">IF($A92="Seçildi",IF('1-Ders Havuzu'!J92="","",'1-Ders Havuzu'!J92),"")</f>
        <v/>
      </c>
      <c r="G92" s="19" t="str">
        <f aca="false">IF($A92="Seçildi",IF('1-Ders Havuzu'!H92="","",'1-Ders Havuzu'!H92),"")</f>
        <v/>
      </c>
      <c r="H92" s="26" t="str">
        <f aca="false">IF($A92="Seçildi",IF('2-Ders-Öğr.Elemanı Eşleştirme'!H92="","",'2-Ders-Öğr.Elemanı Eşleştirme'!H92),"")</f>
        <v/>
      </c>
      <c r="I92" s="19" t="str">
        <f aca="false">IF($A92&lt;&gt;"Seçildi","",IF($H92="","⚠ Öğretim Elemanı Eksik","✓ Tamam"))</f>
        <v/>
      </c>
    </row>
    <row r="93" customFormat="false" ht="15.75" hidden="false" customHeight="true" outlineLevel="0" collapsed="false">
      <c r="A93" s="17" t="str">
        <f aca="false">'1-Ders Havuzu'!K93</f>
        <v>Seçilmedi</v>
      </c>
      <c r="B93" s="17" t="str">
        <f aca="false">IF($A93="Seçildi",IF('1-Ders Havuzu'!C93="","",'1-Ders Havuzu'!C93),"")</f>
        <v/>
      </c>
      <c r="C93" s="24" t="str">
        <f aca="false">IF($A93="Seçildi",IF('1-Ders Havuzu'!D93="","",'1-Ders Havuzu'!D93),"")</f>
        <v/>
      </c>
      <c r="D93" s="17" t="str">
        <f aca="false">IF($A93="Seçildi",IF('1-Ders Havuzu'!B93="","",'1-Ders Havuzu'!B93),"")</f>
        <v/>
      </c>
      <c r="E93" s="17" t="str">
        <f aca="false">IF($A93="Seçildi",IF('1-Ders Havuzu'!A93="","",'1-Ders Havuzu'!A93),"")</f>
        <v/>
      </c>
      <c r="F93" s="17" t="str">
        <f aca="false">IF($A93="Seçildi",IF('1-Ders Havuzu'!J93="","",'1-Ders Havuzu'!J93),"")</f>
        <v/>
      </c>
      <c r="G93" s="17" t="str">
        <f aca="false">IF($A93="Seçildi",IF('1-Ders Havuzu'!H93="","",'1-Ders Havuzu'!H93),"")</f>
        <v/>
      </c>
      <c r="H93" s="24" t="str">
        <f aca="false">IF($A93="Seçildi",IF('2-Ders-Öğr.Elemanı Eşleştirme'!H93="","",'2-Ders-Öğr.Elemanı Eşleştirme'!H93),"")</f>
        <v/>
      </c>
      <c r="I93" s="17" t="str">
        <f aca="false">IF($A93&lt;&gt;"Seçildi","",IF($H93="","⚠ Öğretim Elemanı Eksik","✓ Tamam"))</f>
        <v/>
      </c>
    </row>
    <row r="94" customFormat="false" ht="15.75" hidden="false" customHeight="true" outlineLevel="0" collapsed="false">
      <c r="A94" s="19" t="str">
        <f aca="false">'1-Ders Havuzu'!K94</f>
        <v>Seçilmedi</v>
      </c>
      <c r="B94" s="19" t="str">
        <f aca="false">IF($A94="Seçildi",IF('1-Ders Havuzu'!C94="","",'1-Ders Havuzu'!C94),"")</f>
        <v/>
      </c>
      <c r="C94" s="26" t="str">
        <f aca="false">IF($A94="Seçildi",IF('1-Ders Havuzu'!D94="","",'1-Ders Havuzu'!D94),"")</f>
        <v/>
      </c>
      <c r="D94" s="19" t="str">
        <f aca="false">IF($A94="Seçildi",IF('1-Ders Havuzu'!B94="","",'1-Ders Havuzu'!B94),"")</f>
        <v/>
      </c>
      <c r="E94" s="19" t="str">
        <f aca="false">IF($A94="Seçildi",IF('1-Ders Havuzu'!A94="","",'1-Ders Havuzu'!A94),"")</f>
        <v/>
      </c>
      <c r="F94" s="19" t="str">
        <f aca="false">IF($A94="Seçildi",IF('1-Ders Havuzu'!J94="","",'1-Ders Havuzu'!J94),"")</f>
        <v/>
      </c>
      <c r="G94" s="19" t="str">
        <f aca="false">IF($A94="Seçildi",IF('1-Ders Havuzu'!H94="","",'1-Ders Havuzu'!H94),"")</f>
        <v/>
      </c>
      <c r="H94" s="26" t="str">
        <f aca="false">IF($A94="Seçildi",IF('2-Ders-Öğr.Elemanı Eşleştirme'!H94="","",'2-Ders-Öğr.Elemanı Eşleştirme'!H94),"")</f>
        <v/>
      </c>
      <c r="I94" s="19" t="str">
        <f aca="false">IF($A94&lt;&gt;"Seçildi","",IF($H94="","⚠ Öğretim Elemanı Eksik","✓ Tamam"))</f>
        <v/>
      </c>
    </row>
    <row r="95" customFormat="false" ht="15.75" hidden="false" customHeight="true" outlineLevel="0" collapsed="false">
      <c r="A95" s="17" t="str">
        <f aca="false">'1-Ders Havuzu'!K95</f>
        <v>Seçilmedi</v>
      </c>
      <c r="B95" s="17" t="str">
        <f aca="false">IF($A95="Seçildi",IF('1-Ders Havuzu'!C95="","",'1-Ders Havuzu'!C95),"")</f>
        <v/>
      </c>
      <c r="C95" s="24" t="str">
        <f aca="false">IF($A95="Seçildi",IF('1-Ders Havuzu'!D95="","",'1-Ders Havuzu'!D95),"")</f>
        <v/>
      </c>
      <c r="D95" s="17" t="str">
        <f aca="false">IF($A95="Seçildi",IF('1-Ders Havuzu'!B95="","",'1-Ders Havuzu'!B95),"")</f>
        <v/>
      </c>
      <c r="E95" s="17" t="str">
        <f aca="false">IF($A95="Seçildi",IF('1-Ders Havuzu'!A95="","",'1-Ders Havuzu'!A95),"")</f>
        <v/>
      </c>
      <c r="F95" s="17" t="str">
        <f aca="false">IF($A95="Seçildi",IF('1-Ders Havuzu'!J95="","",'1-Ders Havuzu'!J95),"")</f>
        <v/>
      </c>
      <c r="G95" s="17" t="str">
        <f aca="false">IF($A95="Seçildi",IF('1-Ders Havuzu'!H95="","",'1-Ders Havuzu'!H95),"")</f>
        <v/>
      </c>
      <c r="H95" s="24" t="str">
        <f aca="false">IF($A95="Seçildi",IF('2-Ders-Öğr.Elemanı Eşleştirme'!H95="","",'2-Ders-Öğr.Elemanı Eşleştirme'!H95),"")</f>
        <v/>
      </c>
      <c r="I95" s="17" t="str">
        <f aca="false">IF($A95&lt;&gt;"Seçildi","",IF($H95="","⚠ Öğretim Elemanı Eksik","✓ Tamam"))</f>
        <v/>
      </c>
    </row>
    <row r="96" customFormat="false" ht="15.75" hidden="false" customHeight="true" outlineLevel="0" collapsed="false">
      <c r="A96" s="19" t="str">
        <f aca="false">'1-Ders Havuzu'!K96</f>
        <v>Seçilmedi</v>
      </c>
      <c r="B96" s="19" t="str">
        <f aca="false">IF($A96="Seçildi",IF('1-Ders Havuzu'!C96="","",'1-Ders Havuzu'!C96),"")</f>
        <v/>
      </c>
      <c r="C96" s="26" t="str">
        <f aca="false">IF($A96="Seçildi",IF('1-Ders Havuzu'!D96="","",'1-Ders Havuzu'!D96),"")</f>
        <v/>
      </c>
      <c r="D96" s="19" t="str">
        <f aca="false">IF($A96="Seçildi",IF('1-Ders Havuzu'!B96="","",'1-Ders Havuzu'!B96),"")</f>
        <v/>
      </c>
      <c r="E96" s="19" t="str">
        <f aca="false">IF($A96="Seçildi",IF('1-Ders Havuzu'!A96="","",'1-Ders Havuzu'!A96),"")</f>
        <v/>
      </c>
      <c r="F96" s="19" t="str">
        <f aca="false">IF($A96="Seçildi",IF('1-Ders Havuzu'!J96="","",'1-Ders Havuzu'!J96),"")</f>
        <v/>
      </c>
      <c r="G96" s="19" t="str">
        <f aca="false">IF($A96="Seçildi",IF('1-Ders Havuzu'!H96="","",'1-Ders Havuzu'!H96),"")</f>
        <v/>
      </c>
      <c r="H96" s="26" t="str">
        <f aca="false">IF($A96="Seçildi",IF('2-Ders-Öğr.Elemanı Eşleştirme'!H96="","",'2-Ders-Öğr.Elemanı Eşleştirme'!H96),"")</f>
        <v/>
      </c>
      <c r="I96" s="19" t="str">
        <f aca="false">IF($A96&lt;&gt;"Seçildi","",IF($H96="","⚠ Öğretim Elemanı Eksik","✓ Tamam"))</f>
        <v/>
      </c>
    </row>
    <row r="97" customFormat="false" ht="15.75" hidden="false" customHeight="true" outlineLevel="0" collapsed="false">
      <c r="A97" s="17" t="str">
        <f aca="false">'1-Ders Havuzu'!K97</f>
        <v>Seçilmedi</v>
      </c>
      <c r="B97" s="17" t="str">
        <f aca="false">IF($A97="Seçildi",IF('1-Ders Havuzu'!C97="","",'1-Ders Havuzu'!C97),"")</f>
        <v/>
      </c>
      <c r="C97" s="24" t="str">
        <f aca="false">IF($A97="Seçildi",IF('1-Ders Havuzu'!D97="","",'1-Ders Havuzu'!D97),"")</f>
        <v/>
      </c>
      <c r="D97" s="17" t="str">
        <f aca="false">IF($A97="Seçildi",IF('1-Ders Havuzu'!B97="","",'1-Ders Havuzu'!B97),"")</f>
        <v/>
      </c>
      <c r="E97" s="17" t="str">
        <f aca="false">IF($A97="Seçildi",IF('1-Ders Havuzu'!A97="","",'1-Ders Havuzu'!A97),"")</f>
        <v/>
      </c>
      <c r="F97" s="17" t="str">
        <f aca="false">IF($A97="Seçildi",IF('1-Ders Havuzu'!J97="","",'1-Ders Havuzu'!J97),"")</f>
        <v/>
      </c>
      <c r="G97" s="17" t="str">
        <f aca="false">IF($A97="Seçildi",IF('1-Ders Havuzu'!H97="","",'1-Ders Havuzu'!H97),"")</f>
        <v/>
      </c>
      <c r="H97" s="24" t="str">
        <f aca="false">IF($A97="Seçildi",IF('2-Ders-Öğr.Elemanı Eşleştirme'!H97="","",'2-Ders-Öğr.Elemanı Eşleştirme'!H97),"")</f>
        <v/>
      </c>
      <c r="I97" s="17" t="str">
        <f aca="false">IF($A97&lt;&gt;"Seçildi","",IF($H97="","⚠ Öğretim Elemanı Eksik","✓ Tamam"))</f>
        <v/>
      </c>
    </row>
    <row r="98" customFormat="false" ht="15.75" hidden="false" customHeight="true" outlineLevel="0" collapsed="false">
      <c r="A98" s="19" t="str">
        <f aca="false">'1-Ders Havuzu'!K98</f>
        <v>Seçilmedi</v>
      </c>
      <c r="B98" s="19" t="str">
        <f aca="false">IF($A98="Seçildi",IF('1-Ders Havuzu'!C98="","",'1-Ders Havuzu'!C98),"")</f>
        <v/>
      </c>
      <c r="C98" s="26" t="str">
        <f aca="false">IF($A98="Seçildi",IF('1-Ders Havuzu'!D98="","",'1-Ders Havuzu'!D98),"")</f>
        <v/>
      </c>
      <c r="D98" s="19" t="str">
        <f aca="false">IF($A98="Seçildi",IF('1-Ders Havuzu'!B98="","",'1-Ders Havuzu'!B98),"")</f>
        <v/>
      </c>
      <c r="E98" s="19" t="str">
        <f aca="false">IF($A98="Seçildi",IF('1-Ders Havuzu'!A98="","",'1-Ders Havuzu'!A98),"")</f>
        <v/>
      </c>
      <c r="F98" s="19" t="str">
        <f aca="false">IF($A98="Seçildi",IF('1-Ders Havuzu'!J98="","",'1-Ders Havuzu'!J98),"")</f>
        <v/>
      </c>
      <c r="G98" s="19" t="str">
        <f aca="false">IF($A98="Seçildi",IF('1-Ders Havuzu'!H98="","",'1-Ders Havuzu'!H98),"")</f>
        <v/>
      </c>
      <c r="H98" s="26" t="str">
        <f aca="false">IF($A98="Seçildi",IF('2-Ders-Öğr.Elemanı Eşleştirme'!H98="","",'2-Ders-Öğr.Elemanı Eşleştirme'!H98),"")</f>
        <v/>
      </c>
      <c r="I98" s="19" t="str">
        <f aca="false">IF($A98&lt;&gt;"Seçildi","",IF($H98="","⚠ Öğretim Elemanı Eksik","✓ Tamam"))</f>
        <v/>
      </c>
    </row>
    <row r="99" customFormat="false" ht="15.75" hidden="false" customHeight="true" outlineLevel="0" collapsed="false">
      <c r="A99" s="17" t="str">
        <f aca="false">'1-Ders Havuzu'!K99</f>
        <v>Seçilmedi</v>
      </c>
      <c r="B99" s="17" t="str">
        <f aca="false">IF($A99="Seçildi",IF('1-Ders Havuzu'!C99="","",'1-Ders Havuzu'!C99),"")</f>
        <v/>
      </c>
      <c r="C99" s="24" t="str">
        <f aca="false">IF($A99="Seçildi",IF('1-Ders Havuzu'!D99="","",'1-Ders Havuzu'!D99),"")</f>
        <v/>
      </c>
      <c r="D99" s="17" t="str">
        <f aca="false">IF($A99="Seçildi",IF('1-Ders Havuzu'!B99="","",'1-Ders Havuzu'!B99),"")</f>
        <v/>
      </c>
      <c r="E99" s="17" t="str">
        <f aca="false">IF($A99="Seçildi",IF('1-Ders Havuzu'!A99="","",'1-Ders Havuzu'!A99),"")</f>
        <v/>
      </c>
      <c r="F99" s="17" t="str">
        <f aca="false">IF($A99="Seçildi",IF('1-Ders Havuzu'!J99="","",'1-Ders Havuzu'!J99),"")</f>
        <v/>
      </c>
      <c r="G99" s="17" t="str">
        <f aca="false">IF($A99="Seçildi",IF('1-Ders Havuzu'!H99="","",'1-Ders Havuzu'!H99),"")</f>
        <v/>
      </c>
      <c r="H99" s="24" t="str">
        <f aca="false">IF($A99="Seçildi",IF('2-Ders-Öğr.Elemanı Eşleştirme'!H99="","",'2-Ders-Öğr.Elemanı Eşleştirme'!H99),"")</f>
        <v/>
      </c>
      <c r="I99" s="17" t="str">
        <f aca="false">IF($A99&lt;&gt;"Seçildi","",IF($H99="","⚠ Öğretim Elemanı Eksik","✓ Tamam"))</f>
        <v/>
      </c>
    </row>
    <row r="100" customFormat="false" ht="15.75" hidden="false" customHeight="true" outlineLevel="0" collapsed="false">
      <c r="A100" s="19" t="str">
        <f aca="false">'1-Ders Havuzu'!K100</f>
        <v>Seçilmedi</v>
      </c>
      <c r="B100" s="19" t="str">
        <f aca="false">IF($A100="Seçildi",IF('1-Ders Havuzu'!C100="","",'1-Ders Havuzu'!C100),"")</f>
        <v/>
      </c>
      <c r="C100" s="26" t="str">
        <f aca="false">IF($A100="Seçildi",IF('1-Ders Havuzu'!D100="","",'1-Ders Havuzu'!D100),"")</f>
        <v/>
      </c>
      <c r="D100" s="19" t="str">
        <f aca="false">IF($A100="Seçildi",IF('1-Ders Havuzu'!B100="","",'1-Ders Havuzu'!B100),"")</f>
        <v/>
      </c>
      <c r="E100" s="19" t="str">
        <f aca="false">IF($A100="Seçildi",IF('1-Ders Havuzu'!A100="","",'1-Ders Havuzu'!A100),"")</f>
        <v/>
      </c>
      <c r="F100" s="19" t="str">
        <f aca="false">IF($A100="Seçildi",IF('1-Ders Havuzu'!J100="","",'1-Ders Havuzu'!J100),"")</f>
        <v/>
      </c>
      <c r="G100" s="19" t="str">
        <f aca="false">IF($A100="Seçildi",IF('1-Ders Havuzu'!H100="","",'1-Ders Havuzu'!H100),"")</f>
        <v/>
      </c>
      <c r="H100" s="26" t="str">
        <f aca="false">IF($A100="Seçildi",IF('2-Ders-Öğr.Elemanı Eşleştirme'!H100="","",'2-Ders-Öğr.Elemanı Eşleştirme'!H100),"")</f>
        <v/>
      </c>
      <c r="I100" s="19" t="str">
        <f aca="false">IF($A100&lt;&gt;"Seçildi","",IF($H100="","⚠ Öğretim Elemanı Eksik","✓ Tamam"))</f>
        <v/>
      </c>
    </row>
    <row r="101" customFormat="false" ht="15.75" hidden="false" customHeight="true" outlineLevel="0" collapsed="false">
      <c r="A101" s="17" t="str">
        <f aca="false">'1-Ders Havuzu'!K101</f>
        <v>Seçilmedi</v>
      </c>
      <c r="B101" s="17" t="str">
        <f aca="false">IF($A101="Seçildi",IF('1-Ders Havuzu'!C101="","",'1-Ders Havuzu'!C101),"")</f>
        <v/>
      </c>
      <c r="C101" s="24" t="str">
        <f aca="false">IF($A101="Seçildi",IF('1-Ders Havuzu'!D101="","",'1-Ders Havuzu'!D101),"")</f>
        <v/>
      </c>
      <c r="D101" s="17" t="str">
        <f aca="false">IF($A101="Seçildi",IF('1-Ders Havuzu'!B101="","",'1-Ders Havuzu'!B101),"")</f>
        <v/>
      </c>
      <c r="E101" s="17" t="str">
        <f aca="false">IF($A101="Seçildi",IF('1-Ders Havuzu'!A101="","",'1-Ders Havuzu'!A101),"")</f>
        <v/>
      </c>
      <c r="F101" s="17" t="str">
        <f aca="false">IF($A101="Seçildi",IF('1-Ders Havuzu'!J101="","",'1-Ders Havuzu'!J101),"")</f>
        <v/>
      </c>
      <c r="G101" s="17" t="str">
        <f aca="false">IF($A101="Seçildi",IF('1-Ders Havuzu'!H101="","",'1-Ders Havuzu'!H101),"")</f>
        <v/>
      </c>
      <c r="H101" s="24" t="str">
        <f aca="false">IF($A101="Seçildi",IF('2-Ders-Öğr.Elemanı Eşleştirme'!H101="","",'2-Ders-Öğr.Elemanı Eşleştirme'!H101),"")</f>
        <v/>
      </c>
      <c r="I101" s="17" t="str">
        <f aca="false">IF($A101&lt;&gt;"Seçildi","",IF($H101="","⚠ Öğretim Elemanı Eksik","✓ Tamam"))</f>
        <v/>
      </c>
    </row>
    <row r="102" customFormat="false" ht="15.75" hidden="false" customHeight="true" outlineLevel="0" collapsed="false">
      <c r="A102" s="19" t="str">
        <f aca="false">'1-Ders Havuzu'!K102</f>
        <v>Seçilmedi</v>
      </c>
      <c r="B102" s="19" t="str">
        <f aca="false">IF($A102="Seçildi",IF('1-Ders Havuzu'!C102="","",'1-Ders Havuzu'!C102),"")</f>
        <v/>
      </c>
      <c r="C102" s="26" t="str">
        <f aca="false">IF($A102="Seçildi",IF('1-Ders Havuzu'!D102="","",'1-Ders Havuzu'!D102),"")</f>
        <v/>
      </c>
      <c r="D102" s="19" t="str">
        <f aca="false">IF($A102="Seçildi",IF('1-Ders Havuzu'!B102="","",'1-Ders Havuzu'!B102),"")</f>
        <v/>
      </c>
      <c r="E102" s="19" t="str">
        <f aca="false">IF($A102="Seçildi",IF('1-Ders Havuzu'!A102="","",'1-Ders Havuzu'!A102),"")</f>
        <v/>
      </c>
      <c r="F102" s="19" t="str">
        <f aca="false">IF($A102="Seçildi",IF('1-Ders Havuzu'!J102="","",'1-Ders Havuzu'!J102),"")</f>
        <v/>
      </c>
      <c r="G102" s="19" t="str">
        <f aca="false">IF($A102="Seçildi",IF('1-Ders Havuzu'!H102="","",'1-Ders Havuzu'!H102),"")</f>
        <v/>
      </c>
      <c r="H102" s="26" t="str">
        <f aca="false">IF($A102="Seçildi",IF('2-Ders-Öğr.Elemanı Eşleştirme'!H102="","",'2-Ders-Öğr.Elemanı Eşleştirme'!H102),"")</f>
        <v/>
      </c>
      <c r="I102" s="19" t="str">
        <f aca="false">IF($A102&lt;&gt;"Seçildi","",IF($H102="","⚠ Öğretim Elemanı Eksik","✓ Tamam"))</f>
        <v/>
      </c>
    </row>
    <row r="103" customFormat="false" ht="15.75" hidden="false" customHeight="true" outlineLevel="0" collapsed="false">
      <c r="A103" s="17" t="str">
        <f aca="false">'1-Ders Havuzu'!K103</f>
        <v>Seçilmedi</v>
      </c>
      <c r="B103" s="17" t="str">
        <f aca="false">IF($A103="Seçildi",IF('1-Ders Havuzu'!C103="","",'1-Ders Havuzu'!C103),"")</f>
        <v/>
      </c>
      <c r="C103" s="24" t="str">
        <f aca="false">IF($A103="Seçildi",IF('1-Ders Havuzu'!D103="","",'1-Ders Havuzu'!D103),"")</f>
        <v/>
      </c>
      <c r="D103" s="17" t="str">
        <f aca="false">IF($A103="Seçildi",IF('1-Ders Havuzu'!B103="","",'1-Ders Havuzu'!B103),"")</f>
        <v/>
      </c>
      <c r="E103" s="17" t="str">
        <f aca="false">IF($A103="Seçildi",IF('1-Ders Havuzu'!A103="","",'1-Ders Havuzu'!A103),"")</f>
        <v/>
      </c>
      <c r="F103" s="17" t="str">
        <f aca="false">IF($A103="Seçildi",IF('1-Ders Havuzu'!J103="","",'1-Ders Havuzu'!J103),"")</f>
        <v/>
      </c>
      <c r="G103" s="17" t="str">
        <f aca="false">IF($A103="Seçildi",IF('1-Ders Havuzu'!H103="","",'1-Ders Havuzu'!H103),"")</f>
        <v/>
      </c>
      <c r="H103" s="24" t="str">
        <f aca="false">IF($A103="Seçildi",IF('2-Ders-Öğr.Elemanı Eşleştirme'!H103="","",'2-Ders-Öğr.Elemanı Eşleştirme'!H103),"")</f>
        <v/>
      </c>
      <c r="I103" s="17" t="str">
        <f aca="false">IF($A103&lt;&gt;"Seçildi","",IF($H103="","⚠ Öğretim Elemanı Eksik","✓ Tamam"))</f>
        <v/>
      </c>
    </row>
    <row r="104" customFormat="false" ht="15.75" hidden="false" customHeight="true" outlineLevel="0" collapsed="false">
      <c r="A104" s="19" t="str">
        <f aca="false">'1-Ders Havuzu'!K104</f>
        <v>Seçilmedi</v>
      </c>
      <c r="B104" s="19" t="str">
        <f aca="false">IF($A104="Seçildi",IF('1-Ders Havuzu'!C104="","",'1-Ders Havuzu'!C104),"")</f>
        <v/>
      </c>
      <c r="C104" s="26" t="str">
        <f aca="false">IF($A104="Seçildi",IF('1-Ders Havuzu'!D104="","",'1-Ders Havuzu'!D104),"")</f>
        <v/>
      </c>
      <c r="D104" s="19" t="str">
        <f aca="false">IF($A104="Seçildi",IF('1-Ders Havuzu'!B104="","",'1-Ders Havuzu'!B104),"")</f>
        <v/>
      </c>
      <c r="E104" s="19" t="str">
        <f aca="false">IF($A104="Seçildi",IF('1-Ders Havuzu'!A104="","",'1-Ders Havuzu'!A104),"")</f>
        <v/>
      </c>
      <c r="F104" s="19" t="str">
        <f aca="false">IF($A104="Seçildi",IF('1-Ders Havuzu'!J104="","",'1-Ders Havuzu'!J104),"")</f>
        <v/>
      </c>
      <c r="G104" s="19" t="str">
        <f aca="false">IF($A104="Seçildi",IF('1-Ders Havuzu'!H104="","",'1-Ders Havuzu'!H104),"")</f>
        <v/>
      </c>
      <c r="H104" s="26" t="str">
        <f aca="false">IF($A104="Seçildi",IF('2-Ders-Öğr.Elemanı Eşleştirme'!H104="","",'2-Ders-Öğr.Elemanı Eşleştirme'!H104),"")</f>
        <v/>
      </c>
      <c r="I104" s="19" t="str">
        <f aca="false">IF($A104&lt;&gt;"Seçildi","",IF($H104="","⚠ Öğretim Elemanı Eksik","✓ Tamam"))</f>
        <v/>
      </c>
    </row>
    <row r="105" customFormat="false" ht="15.75" hidden="false" customHeight="true" outlineLevel="0" collapsed="false">
      <c r="A105" s="17" t="str">
        <f aca="false">'1-Ders Havuzu'!K105</f>
        <v>Seçilmedi</v>
      </c>
      <c r="B105" s="17" t="str">
        <f aca="false">IF($A105="Seçildi",IF('1-Ders Havuzu'!C105="","",'1-Ders Havuzu'!C105),"")</f>
        <v/>
      </c>
      <c r="C105" s="24" t="str">
        <f aca="false">IF($A105="Seçildi",IF('1-Ders Havuzu'!D105="","",'1-Ders Havuzu'!D105),"")</f>
        <v/>
      </c>
      <c r="D105" s="17" t="str">
        <f aca="false">IF($A105="Seçildi",IF('1-Ders Havuzu'!B105="","",'1-Ders Havuzu'!B105),"")</f>
        <v/>
      </c>
      <c r="E105" s="17" t="str">
        <f aca="false">IF($A105="Seçildi",IF('1-Ders Havuzu'!A105="","",'1-Ders Havuzu'!A105),"")</f>
        <v/>
      </c>
      <c r="F105" s="17" t="str">
        <f aca="false">IF($A105="Seçildi",IF('1-Ders Havuzu'!J105="","",'1-Ders Havuzu'!J105),"")</f>
        <v/>
      </c>
      <c r="G105" s="17" t="str">
        <f aca="false">IF($A105="Seçildi",IF('1-Ders Havuzu'!H105="","",'1-Ders Havuzu'!H105),"")</f>
        <v/>
      </c>
      <c r="H105" s="24" t="str">
        <f aca="false">IF($A105="Seçildi",IF('2-Ders-Öğr.Elemanı Eşleştirme'!H105="","",'2-Ders-Öğr.Elemanı Eşleştirme'!H105),"")</f>
        <v/>
      </c>
      <c r="I105" s="17" t="str">
        <f aca="false">IF($A105&lt;&gt;"Seçildi","",IF($H105="","⚠ Öğretim Elemanı Eksik","✓ Tamam"))</f>
        <v/>
      </c>
    </row>
    <row r="106" customFormat="false" ht="15.75" hidden="false" customHeight="true" outlineLevel="0" collapsed="false">
      <c r="A106" s="19" t="str">
        <f aca="false">'1-Ders Havuzu'!K106</f>
        <v>Seçilmedi</v>
      </c>
      <c r="B106" s="19" t="str">
        <f aca="false">IF($A106="Seçildi",IF('1-Ders Havuzu'!C106="","",'1-Ders Havuzu'!C106),"")</f>
        <v/>
      </c>
      <c r="C106" s="26" t="str">
        <f aca="false">IF($A106="Seçildi",IF('1-Ders Havuzu'!D106="","",'1-Ders Havuzu'!D106),"")</f>
        <v/>
      </c>
      <c r="D106" s="19" t="str">
        <f aca="false">IF($A106="Seçildi",IF('1-Ders Havuzu'!B106="","",'1-Ders Havuzu'!B106),"")</f>
        <v/>
      </c>
      <c r="E106" s="19" t="str">
        <f aca="false">IF($A106="Seçildi",IF('1-Ders Havuzu'!A106="","",'1-Ders Havuzu'!A106),"")</f>
        <v/>
      </c>
      <c r="F106" s="19" t="str">
        <f aca="false">IF($A106="Seçildi",IF('1-Ders Havuzu'!J106="","",'1-Ders Havuzu'!J106),"")</f>
        <v/>
      </c>
      <c r="G106" s="19" t="str">
        <f aca="false">IF($A106="Seçildi",IF('1-Ders Havuzu'!H106="","",'1-Ders Havuzu'!H106),"")</f>
        <v/>
      </c>
      <c r="H106" s="26" t="str">
        <f aca="false">IF($A106="Seçildi",IF('2-Ders-Öğr.Elemanı Eşleştirme'!H106="","",'2-Ders-Öğr.Elemanı Eşleştirme'!H106),"")</f>
        <v/>
      </c>
      <c r="I106" s="19" t="str">
        <f aca="false">IF($A106&lt;&gt;"Seçildi","",IF($H106="","⚠ Öğretim Elemanı Eksik","✓ Tamam"))</f>
        <v/>
      </c>
    </row>
    <row r="107" customFormat="false" ht="15.75" hidden="false" customHeight="true" outlineLevel="0" collapsed="false">
      <c r="A107" s="17" t="str">
        <f aca="false">'1-Ders Havuzu'!K107</f>
        <v>Seçilmedi</v>
      </c>
      <c r="B107" s="17" t="str">
        <f aca="false">IF($A107="Seçildi",IF('1-Ders Havuzu'!C107="","",'1-Ders Havuzu'!C107),"")</f>
        <v/>
      </c>
      <c r="C107" s="24" t="str">
        <f aca="false">IF($A107="Seçildi",IF('1-Ders Havuzu'!D107="","",'1-Ders Havuzu'!D107),"")</f>
        <v/>
      </c>
      <c r="D107" s="17" t="str">
        <f aca="false">IF($A107="Seçildi",IF('1-Ders Havuzu'!B107="","",'1-Ders Havuzu'!B107),"")</f>
        <v/>
      </c>
      <c r="E107" s="17" t="str">
        <f aca="false">IF($A107="Seçildi",IF('1-Ders Havuzu'!A107="","",'1-Ders Havuzu'!A107),"")</f>
        <v/>
      </c>
      <c r="F107" s="17" t="str">
        <f aca="false">IF($A107="Seçildi",IF('1-Ders Havuzu'!J107="","",'1-Ders Havuzu'!J107),"")</f>
        <v/>
      </c>
      <c r="G107" s="17" t="str">
        <f aca="false">IF($A107="Seçildi",IF('1-Ders Havuzu'!H107="","",'1-Ders Havuzu'!H107),"")</f>
        <v/>
      </c>
      <c r="H107" s="24" t="str">
        <f aca="false">IF($A107="Seçildi",IF('2-Ders-Öğr.Elemanı Eşleştirme'!H107="","",'2-Ders-Öğr.Elemanı Eşleştirme'!H107),"")</f>
        <v/>
      </c>
      <c r="I107" s="17" t="str">
        <f aca="false">IF($A107&lt;&gt;"Seçildi","",IF($H107="","⚠ Öğretim Elemanı Eksik","✓ Tamam"))</f>
        <v/>
      </c>
    </row>
    <row r="108" customFormat="false" ht="15.75" hidden="false" customHeight="true" outlineLevel="0" collapsed="false">
      <c r="A108" s="19" t="n">
        <f aca="false">'1-Ders Havuzu'!K108</f>
        <v>0</v>
      </c>
      <c r="B108" s="19" t="str">
        <f aca="false">IF($A108="Seçildi",IF('1-Ders Havuzu'!C108="","",'1-Ders Havuzu'!C108),"")</f>
        <v/>
      </c>
      <c r="C108" s="26" t="str">
        <f aca="false">IF($A108="Seçildi",IF('1-Ders Havuzu'!D108="","",'1-Ders Havuzu'!D108),"")</f>
        <v/>
      </c>
      <c r="D108" s="19" t="str">
        <f aca="false">IF($A108="Seçildi",IF('1-Ders Havuzu'!B108="","",'1-Ders Havuzu'!B108),"")</f>
        <v/>
      </c>
      <c r="E108" s="19" t="str">
        <f aca="false">IF($A108="Seçildi",IF('1-Ders Havuzu'!A108="","",'1-Ders Havuzu'!A108),"")</f>
        <v/>
      </c>
      <c r="F108" s="19" t="str">
        <f aca="false">IF($A108="Seçildi",IF('1-Ders Havuzu'!J108="","",'1-Ders Havuzu'!J108),"")</f>
        <v/>
      </c>
      <c r="G108" s="19" t="str">
        <f aca="false">IF($A108="Seçildi",IF('1-Ders Havuzu'!H108="","",'1-Ders Havuzu'!H108),"")</f>
        <v/>
      </c>
      <c r="H108" s="26" t="str">
        <f aca="false">IF($A108="Seçildi",IF('2-Ders-Öğr.Elemanı Eşleştirme'!H108="","",'2-Ders-Öğr.Elemanı Eşleştirme'!H108),"")</f>
        <v/>
      </c>
      <c r="I108" s="19" t="str">
        <f aca="false">IF($A108&lt;&gt;"Seçildi","",IF($H108="","⚠ Öğretim Elemanı Eksik","✓ Tamam"))</f>
        <v/>
      </c>
    </row>
    <row r="109" customFormat="false" ht="15.75" hidden="false" customHeight="true" outlineLevel="0" collapsed="false">
      <c r="A109" s="17" t="n">
        <f aca="false">'1-Ders Havuzu'!K109</f>
        <v>0</v>
      </c>
      <c r="B109" s="17" t="str">
        <f aca="false">IF($A109="Seçildi",IF('1-Ders Havuzu'!C109="","",'1-Ders Havuzu'!C109),"")</f>
        <v/>
      </c>
      <c r="C109" s="24" t="str">
        <f aca="false">IF($A109="Seçildi",IF('1-Ders Havuzu'!D109="","",'1-Ders Havuzu'!D109),"")</f>
        <v/>
      </c>
      <c r="D109" s="17" t="str">
        <f aca="false">IF($A109="Seçildi",IF('1-Ders Havuzu'!B109="","",'1-Ders Havuzu'!B109),"")</f>
        <v/>
      </c>
      <c r="E109" s="17" t="str">
        <f aca="false">IF($A109="Seçildi",IF('1-Ders Havuzu'!A109="","",'1-Ders Havuzu'!A109),"")</f>
        <v/>
      </c>
      <c r="F109" s="17" t="str">
        <f aca="false">IF($A109="Seçildi",IF('1-Ders Havuzu'!J109="","",'1-Ders Havuzu'!J109),"")</f>
        <v/>
      </c>
      <c r="G109" s="17" t="str">
        <f aca="false">IF($A109="Seçildi",IF('1-Ders Havuzu'!H109="","",'1-Ders Havuzu'!H109),"")</f>
        <v/>
      </c>
      <c r="H109" s="24" t="str">
        <f aca="false">IF($A109="Seçildi",IF('2-Ders-Öğr.Elemanı Eşleştirme'!H109="","",'2-Ders-Öğr.Elemanı Eşleştirme'!H109),"")</f>
        <v/>
      </c>
      <c r="I109" s="17" t="str">
        <f aca="false">IF($A109&lt;&gt;"Seçildi","",IF($H109="","⚠ Öğretim Elemanı Eksik","✓ Tamam"))</f>
        <v/>
      </c>
    </row>
    <row r="110" customFormat="false" ht="15.75" hidden="false" customHeight="true" outlineLevel="0" collapsed="false">
      <c r="A110" s="19" t="n">
        <f aca="false">'1-Ders Havuzu'!K110</f>
        <v>0</v>
      </c>
      <c r="B110" s="19" t="str">
        <f aca="false">IF($A110="Seçildi",IF('1-Ders Havuzu'!C110="","",'1-Ders Havuzu'!C110),"")</f>
        <v/>
      </c>
      <c r="C110" s="26" t="str">
        <f aca="false">IF($A110="Seçildi",IF('1-Ders Havuzu'!D110="","",'1-Ders Havuzu'!D110),"")</f>
        <v/>
      </c>
      <c r="D110" s="19" t="str">
        <f aca="false">IF($A110="Seçildi",IF('1-Ders Havuzu'!B110="","",'1-Ders Havuzu'!B110),"")</f>
        <v/>
      </c>
      <c r="E110" s="19" t="str">
        <f aca="false">IF($A110="Seçildi",IF('1-Ders Havuzu'!A110="","",'1-Ders Havuzu'!A110),"")</f>
        <v/>
      </c>
      <c r="F110" s="19" t="str">
        <f aca="false">IF($A110="Seçildi",IF('1-Ders Havuzu'!J110="","",'1-Ders Havuzu'!J110),"")</f>
        <v/>
      </c>
      <c r="G110" s="19" t="str">
        <f aca="false">IF($A110="Seçildi",IF('1-Ders Havuzu'!H110="","",'1-Ders Havuzu'!H110),"")</f>
        <v/>
      </c>
      <c r="H110" s="26" t="str">
        <f aca="false">IF($A110="Seçildi",IF('2-Ders-Öğr.Elemanı Eşleştirme'!H110="","",'2-Ders-Öğr.Elemanı Eşleştirme'!H110),"")</f>
        <v/>
      </c>
      <c r="I110" s="19" t="str">
        <f aca="false">IF($A110&lt;&gt;"Seçildi","",IF($H110="","⚠ Öğretim Elemanı Eksik","✓ Tamam"))</f>
        <v/>
      </c>
    </row>
    <row r="111" customFormat="false" ht="15.75" hidden="false" customHeight="true" outlineLevel="0" collapsed="false">
      <c r="A111" s="17" t="n">
        <f aca="false">'1-Ders Havuzu'!K111</f>
        <v>0</v>
      </c>
      <c r="B111" s="17" t="str">
        <f aca="false">IF($A111="Seçildi",IF('1-Ders Havuzu'!C111="","",'1-Ders Havuzu'!C111),"")</f>
        <v/>
      </c>
      <c r="C111" s="24" t="str">
        <f aca="false">IF($A111="Seçildi",IF('1-Ders Havuzu'!D111="","",'1-Ders Havuzu'!D111),"")</f>
        <v/>
      </c>
      <c r="D111" s="17" t="str">
        <f aca="false">IF($A111="Seçildi",IF('1-Ders Havuzu'!B111="","",'1-Ders Havuzu'!B111),"")</f>
        <v/>
      </c>
      <c r="E111" s="17" t="str">
        <f aca="false">IF($A111="Seçildi",IF('1-Ders Havuzu'!A111="","",'1-Ders Havuzu'!A111),"")</f>
        <v/>
      </c>
      <c r="F111" s="17" t="str">
        <f aca="false">IF($A111="Seçildi",IF('1-Ders Havuzu'!J111="","",'1-Ders Havuzu'!J111),"")</f>
        <v/>
      </c>
      <c r="G111" s="17" t="str">
        <f aca="false">IF($A111="Seçildi",IF('1-Ders Havuzu'!H111="","",'1-Ders Havuzu'!H111),"")</f>
        <v/>
      </c>
      <c r="H111" s="24" t="str">
        <f aca="false">IF($A111="Seçildi",IF('2-Ders-Öğr.Elemanı Eşleştirme'!H111="","",'2-Ders-Öğr.Elemanı Eşleştirme'!H111),"")</f>
        <v/>
      </c>
      <c r="I111" s="17" t="str">
        <f aca="false">IF($A111&lt;&gt;"Seçildi","",IF($H111="","⚠ Öğretim Elemanı Eksik","✓ Tamam"))</f>
        <v/>
      </c>
    </row>
    <row r="112" customFormat="false" ht="15.75" hidden="false" customHeight="true" outlineLevel="0" collapsed="false">
      <c r="A112" s="19" t="n">
        <f aca="false">'1-Ders Havuzu'!K112</f>
        <v>0</v>
      </c>
      <c r="B112" s="19" t="str">
        <f aca="false">IF($A112="Seçildi",IF('1-Ders Havuzu'!C112="","",'1-Ders Havuzu'!C112),"")</f>
        <v/>
      </c>
      <c r="C112" s="26" t="str">
        <f aca="false">IF($A112="Seçildi",IF('1-Ders Havuzu'!D112="","",'1-Ders Havuzu'!D112),"")</f>
        <v/>
      </c>
      <c r="D112" s="19" t="str">
        <f aca="false">IF($A112="Seçildi",IF('1-Ders Havuzu'!B112="","",'1-Ders Havuzu'!B112),"")</f>
        <v/>
      </c>
      <c r="E112" s="19" t="str">
        <f aca="false">IF($A112="Seçildi",IF('1-Ders Havuzu'!A112="","",'1-Ders Havuzu'!A112),"")</f>
        <v/>
      </c>
      <c r="F112" s="19" t="str">
        <f aca="false">IF($A112="Seçildi",IF('1-Ders Havuzu'!J112="","",'1-Ders Havuzu'!J112),"")</f>
        <v/>
      </c>
      <c r="G112" s="19" t="str">
        <f aca="false">IF($A112="Seçildi",IF('1-Ders Havuzu'!H112="","",'1-Ders Havuzu'!H112),"")</f>
        <v/>
      </c>
      <c r="H112" s="26" t="str">
        <f aca="false">IF($A112="Seçildi",IF('2-Ders-Öğr.Elemanı Eşleştirme'!H112="","",'2-Ders-Öğr.Elemanı Eşleştirme'!H112),"")</f>
        <v/>
      </c>
      <c r="I112" s="19" t="str">
        <f aca="false">IF($A112&lt;&gt;"Seçildi","",IF($H112="","⚠ Öğretim Elemanı Eksik","✓ Tamam"))</f>
        <v/>
      </c>
    </row>
    <row r="113" customFormat="false" ht="15.75" hidden="false" customHeight="true" outlineLevel="0" collapsed="false">
      <c r="A113" s="17" t="n">
        <f aca="false">'1-Ders Havuzu'!K113</f>
        <v>0</v>
      </c>
      <c r="B113" s="17" t="str">
        <f aca="false">IF($A113="Seçildi",IF('1-Ders Havuzu'!C113="","",'1-Ders Havuzu'!C113),"")</f>
        <v/>
      </c>
      <c r="C113" s="24" t="str">
        <f aca="false">IF($A113="Seçildi",IF('1-Ders Havuzu'!D113="","",'1-Ders Havuzu'!D113),"")</f>
        <v/>
      </c>
      <c r="D113" s="17" t="str">
        <f aca="false">IF($A113="Seçildi",IF('1-Ders Havuzu'!B113="","",'1-Ders Havuzu'!B113),"")</f>
        <v/>
      </c>
      <c r="E113" s="17" t="str">
        <f aca="false">IF($A113="Seçildi",IF('1-Ders Havuzu'!A113="","",'1-Ders Havuzu'!A113),"")</f>
        <v/>
      </c>
      <c r="F113" s="17" t="str">
        <f aca="false">IF($A113="Seçildi",IF('1-Ders Havuzu'!J113="","",'1-Ders Havuzu'!J113),"")</f>
        <v/>
      </c>
      <c r="G113" s="17" t="str">
        <f aca="false">IF($A113="Seçildi",IF('1-Ders Havuzu'!H113="","",'1-Ders Havuzu'!H113),"")</f>
        <v/>
      </c>
      <c r="H113" s="24" t="str">
        <f aca="false">IF($A113="Seçildi",IF('2-Ders-Öğr.Elemanı Eşleştirme'!H113="","",'2-Ders-Öğr.Elemanı Eşleştirme'!H113),"")</f>
        <v/>
      </c>
      <c r="I113" s="17" t="str">
        <f aca="false">IF($A113&lt;&gt;"Seçildi","",IF($H113="","⚠ Öğretim Elemanı Eksik","✓ Tamam"))</f>
        <v/>
      </c>
    </row>
    <row r="114" customFormat="false" ht="15.75" hidden="false" customHeight="true" outlineLevel="0" collapsed="false">
      <c r="A114" s="19" t="n">
        <f aca="false">'1-Ders Havuzu'!K114</f>
        <v>0</v>
      </c>
      <c r="B114" s="19" t="str">
        <f aca="false">IF($A114="Seçildi",IF('1-Ders Havuzu'!C114="","",'1-Ders Havuzu'!C114),"")</f>
        <v/>
      </c>
      <c r="C114" s="26" t="str">
        <f aca="false">IF($A114="Seçildi",IF('1-Ders Havuzu'!D114="","",'1-Ders Havuzu'!D114),"")</f>
        <v/>
      </c>
      <c r="D114" s="19" t="str">
        <f aca="false">IF($A114="Seçildi",IF('1-Ders Havuzu'!B114="","",'1-Ders Havuzu'!B114),"")</f>
        <v/>
      </c>
      <c r="E114" s="19" t="str">
        <f aca="false">IF($A114="Seçildi",IF('1-Ders Havuzu'!A114="","",'1-Ders Havuzu'!A114),"")</f>
        <v/>
      </c>
      <c r="F114" s="19" t="str">
        <f aca="false">IF($A114="Seçildi",IF('1-Ders Havuzu'!J114="","",'1-Ders Havuzu'!J114),"")</f>
        <v/>
      </c>
      <c r="G114" s="19" t="str">
        <f aca="false">IF($A114="Seçildi",IF('1-Ders Havuzu'!H114="","",'1-Ders Havuzu'!H114),"")</f>
        <v/>
      </c>
      <c r="H114" s="26" t="str">
        <f aca="false">IF($A114="Seçildi",IF('2-Ders-Öğr.Elemanı Eşleştirme'!H114="","",'2-Ders-Öğr.Elemanı Eşleştirme'!H114),"")</f>
        <v/>
      </c>
      <c r="I114" s="19" t="str">
        <f aca="false">IF($A114&lt;&gt;"Seçildi","",IF($H114="","⚠ Öğretim Elemanı Eksik","✓ Tamam"))</f>
        <v/>
      </c>
    </row>
    <row r="115" customFormat="false" ht="15.75" hidden="false" customHeight="true" outlineLevel="0" collapsed="false">
      <c r="A115" s="17" t="n">
        <f aca="false">'1-Ders Havuzu'!K115</f>
        <v>0</v>
      </c>
      <c r="B115" s="17" t="str">
        <f aca="false">IF($A115="Seçildi",IF('1-Ders Havuzu'!C115="","",'1-Ders Havuzu'!C115),"")</f>
        <v/>
      </c>
      <c r="C115" s="24" t="str">
        <f aca="false">IF($A115="Seçildi",IF('1-Ders Havuzu'!D115="","",'1-Ders Havuzu'!D115),"")</f>
        <v/>
      </c>
      <c r="D115" s="17" t="str">
        <f aca="false">IF($A115="Seçildi",IF('1-Ders Havuzu'!B115="","",'1-Ders Havuzu'!B115),"")</f>
        <v/>
      </c>
      <c r="E115" s="17" t="str">
        <f aca="false">IF($A115="Seçildi",IF('1-Ders Havuzu'!A115="","",'1-Ders Havuzu'!A115),"")</f>
        <v/>
      </c>
      <c r="F115" s="17" t="str">
        <f aca="false">IF($A115="Seçildi",IF('1-Ders Havuzu'!J115="","",'1-Ders Havuzu'!J115),"")</f>
        <v/>
      </c>
      <c r="G115" s="17" t="str">
        <f aca="false">IF($A115="Seçildi",IF('1-Ders Havuzu'!H115="","",'1-Ders Havuzu'!H115),"")</f>
        <v/>
      </c>
      <c r="H115" s="24" t="str">
        <f aca="false">IF($A115="Seçildi",IF('2-Ders-Öğr.Elemanı Eşleştirme'!H115="","",'2-Ders-Öğr.Elemanı Eşleştirme'!H115),"")</f>
        <v/>
      </c>
      <c r="I115" s="17" t="str">
        <f aca="false">IF($A115&lt;&gt;"Seçildi","",IF($H115="","⚠ Öğretim Elemanı Eksik","✓ Tamam"))</f>
        <v/>
      </c>
    </row>
    <row r="116" customFormat="false" ht="15.75" hidden="false" customHeight="true" outlineLevel="0" collapsed="false">
      <c r="A116" s="19" t="n">
        <f aca="false">'1-Ders Havuzu'!K116</f>
        <v>0</v>
      </c>
      <c r="B116" s="19" t="str">
        <f aca="false">IF($A116="Seçildi",IF('1-Ders Havuzu'!C116="","",'1-Ders Havuzu'!C116),"")</f>
        <v/>
      </c>
      <c r="C116" s="26" t="str">
        <f aca="false">IF($A116="Seçildi",IF('1-Ders Havuzu'!D116="","",'1-Ders Havuzu'!D116),"")</f>
        <v/>
      </c>
      <c r="D116" s="19" t="str">
        <f aca="false">IF($A116="Seçildi",IF('1-Ders Havuzu'!B116="","",'1-Ders Havuzu'!B116),"")</f>
        <v/>
      </c>
      <c r="E116" s="19" t="str">
        <f aca="false">IF($A116="Seçildi",IF('1-Ders Havuzu'!A116="","",'1-Ders Havuzu'!A116),"")</f>
        <v/>
      </c>
      <c r="F116" s="19" t="str">
        <f aca="false">IF($A116="Seçildi",IF('1-Ders Havuzu'!J116="","",'1-Ders Havuzu'!J116),"")</f>
        <v/>
      </c>
      <c r="G116" s="19" t="str">
        <f aca="false">IF($A116="Seçildi",IF('1-Ders Havuzu'!H116="","",'1-Ders Havuzu'!H116),"")</f>
        <v/>
      </c>
      <c r="H116" s="26" t="str">
        <f aca="false">IF($A116="Seçildi",IF('2-Ders-Öğr.Elemanı Eşleştirme'!H116="","",'2-Ders-Öğr.Elemanı Eşleştirme'!H116),"")</f>
        <v/>
      </c>
      <c r="I116" s="19" t="str">
        <f aca="false">IF($A116&lt;&gt;"Seçildi","",IF($H116="","⚠ Öğretim Elemanı Eksik","✓ Tamam"))</f>
        <v/>
      </c>
    </row>
    <row r="117" customFormat="false" ht="15.75" hidden="false" customHeight="true" outlineLevel="0" collapsed="false">
      <c r="A117" s="17" t="n">
        <f aca="false">'1-Ders Havuzu'!K117</f>
        <v>0</v>
      </c>
      <c r="B117" s="17" t="str">
        <f aca="false">IF($A117="Seçildi",IF('1-Ders Havuzu'!C117="","",'1-Ders Havuzu'!C117),"")</f>
        <v/>
      </c>
      <c r="C117" s="24" t="str">
        <f aca="false">IF($A117="Seçildi",IF('1-Ders Havuzu'!D117="","",'1-Ders Havuzu'!D117),"")</f>
        <v/>
      </c>
      <c r="D117" s="17" t="str">
        <f aca="false">IF($A117="Seçildi",IF('1-Ders Havuzu'!B117="","",'1-Ders Havuzu'!B117),"")</f>
        <v/>
      </c>
      <c r="E117" s="17" t="str">
        <f aca="false">IF($A117="Seçildi",IF('1-Ders Havuzu'!A117="","",'1-Ders Havuzu'!A117),"")</f>
        <v/>
      </c>
      <c r="F117" s="17" t="str">
        <f aca="false">IF($A117="Seçildi",IF('1-Ders Havuzu'!J117="","",'1-Ders Havuzu'!J117),"")</f>
        <v/>
      </c>
      <c r="G117" s="17" t="str">
        <f aca="false">IF($A117="Seçildi",IF('1-Ders Havuzu'!H117="","",'1-Ders Havuzu'!H117),"")</f>
        <v/>
      </c>
      <c r="H117" s="24" t="str">
        <f aca="false">IF($A117="Seçildi",IF('2-Ders-Öğr.Elemanı Eşleştirme'!H117="","",'2-Ders-Öğr.Elemanı Eşleştirme'!H117),"")</f>
        <v/>
      </c>
      <c r="I117" s="17" t="str">
        <f aca="false">IF($A117&lt;&gt;"Seçildi","",IF($H117="","⚠ Öğretim Elemanı Eksik","✓ Tamam"))</f>
        <v/>
      </c>
    </row>
    <row r="118" customFormat="false" ht="15.75" hidden="false" customHeight="true" outlineLevel="0" collapsed="false">
      <c r="A118" s="19" t="n">
        <f aca="false">'1-Ders Havuzu'!K118</f>
        <v>0</v>
      </c>
      <c r="B118" s="19" t="str">
        <f aca="false">IF($A118="Seçildi",IF('1-Ders Havuzu'!C118="","",'1-Ders Havuzu'!C118),"")</f>
        <v/>
      </c>
      <c r="C118" s="26" t="str">
        <f aca="false">IF($A118="Seçildi",IF('1-Ders Havuzu'!D118="","",'1-Ders Havuzu'!D118),"")</f>
        <v/>
      </c>
      <c r="D118" s="19" t="str">
        <f aca="false">IF($A118="Seçildi",IF('1-Ders Havuzu'!B118="","",'1-Ders Havuzu'!B118),"")</f>
        <v/>
      </c>
      <c r="E118" s="19" t="str">
        <f aca="false">IF($A118="Seçildi",IF('1-Ders Havuzu'!A118="","",'1-Ders Havuzu'!A118),"")</f>
        <v/>
      </c>
      <c r="F118" s="19" t="str">
        <f aca="false">IF($A118="Seçildi",IF('1-Ders Havuzu'!J118="","",'1-Ders Havuzu'!J118),"")</f>
        <v/>
      </c>
      <c r="G118" s="19" t="str">
        <f aca="false">IF($A118="Seçildi",IF('1-Ders Havuzu'!H118="","",'1-Ders Havuzu'!H118),"")</f>
        <v/>
      </c>
      <c r="H118" s="26" t="str">
        <f aca="false">IF($A118="Seçildi",IF('2-Ders-Öğr.Elemanı Eşleştirme'!H118="","",'2-Ders-Öğr.Elemanı Eşleştirme'!H118),"")</f>
        <v/>
      </c>
      <c r="I118" s="19" t="str">
        <f aca="false">IF($A118&lt;&gt;"Seçildi","",IF($H118="","⚠ Öğretim Elemanı Eksik","✓ Tamam"))</f>
        <v/>
      </c>
    </row>
    <row r="119" customFormat="false" ht="15.75" hidden="false" customHeight="true" outlineLevel="0" collapsed="false">
      <c r="A119" s="17" t="n">
        <f aca="false">'1-Ders Havuzu'!K119</f>
        <v>0</v>
      </c>
      <c r="B119" s="17" t="str">
        <f aca="false">IF($A119="Seçildi",IF('1-Ders Havuzu'!C119="","",'1-Ders Havuzu'!C119),"")</f>
        <v/>
      </c>
      <c r="C119" s="24" t="str">
        <f aca="false">IF($A119="Seçildi",IF('1-Ders Havuzu'!D119="","",'1-Ders Havuzu'!D119),"")</f>
        <v/>
      </c>
      <c r="D119" s="17" t="str">
        <f aca="false">IF($A119="Seçildi",IF('1-Ders Havuzu'!B119="","",'1-Ders Havuzu'!B119),"")</f>
        <v/>
      </c>
      <c r="E119" s="17" t="str">
        <f aca="false">IF($A119="Seçildi",IF('1-Ders Havuzu'!A119="","",'1-Ders Havuzu'!A119),"")</f>
        <v/>
      </c>
      <c r="F119" s="17" t="str">
        <f aca="false">IF($A119="Seçildi",IF('1-Ders Havuzu'!J119="","",'1-Ders Havuzu'!J119),"")</f>
        <v/>
      </c>
      <c r="G119" s="17" t="str">
        <f aca="false">IF($A119="Seçildi",IF('1-Ders Havuzu'!H119="","",'1-Ders Havuzu'!H119),"")</f>
        <v/>
      </c>
      <c r="H119" s="24" t="str">
        <f aca="false">IF($A119="Seçildi",IF('2-Ders-Öğr.Elemanı Eşleştirme'!H119="","",'2-Ders-Öğr.Elemanı Eşleştirme'!H119),"")</f>
        <v/>
      </c>
      <c r="I119" s="17" t="str">
        <f aca="false">IF($A119&lt;&gt;"Seçildi","",IF($H119="","⚠ Öğretim Elemanı Eksik","✓ Tamam"))</f>
        <v/>
      </c>
    </row>
    <row r="120" customFormat="false" ht="15.75" hidden="false" customHeight="true" outlineLevel="0" collapsed="false">
      <c r="A120" s="19" t="n">
        <f aca="false">'1-Ders Havuzu'!K120</f>
        <v>0</v>
      </c>
      <c r="B120" s="19" t="str">
        <f aca="false">IF($A120="Seçildi",IF('1-Ders Havuzu'!C120="","",'1-Ders Havuzu'!C120),"")</f>
        <v/>
      </c>
      <c r="C120" s="26" t="str">
        <f aca="false">IF($A120="Seçildi",IF('1-Ders Havuzu'!D120="","",'1-Ders Havuzu'!D120),"")</f>
        <v/>
      </c>
      <c r="D120" s="19" t="str">
        <f aca="false">IF($A120="Seçildi",IF('1-Ders Havuzu'!B120="","",'1-Ders Havuzu'!B120),"")</f>
        <v/>
      </c>
      <c r="E120" s="19" t="str">
        <f aca="false">IF($A120="Seçildi",IF('1-Ders Havuzu'!A120="","",'1-Ders Havuzu'!A120),"")</f>
        <v/>
      </c>
      <c r="F120" s="19" t="str">
        <f aca="false">IF($A120="Seçildi",IF('1-Ders Havuzu'!J120="","",'1-Ders Havuzu'!J120),"")</f>
        <v/>
      </c>
      <c r="G120" s="19" t="str">
        <f aca="false">IF($A120="Seçildi",IF('1-Ders Havuzu'!H120="","",'1-Ders Havuzu'!H120),"")</f>
        <v/>
      </c>
      <c r="H120" s="26" t="str">
        <f aca="false">IF($A120="Seçildi",IF('2-Ders-Öğr.Elemanı Eşleştirme'!H120="","",'2-Ders-Öğr.Elemanı Eşleştirme'!H120),"")</f>
        <v/>
      </c>
      <c r="I120" s="19" t="str">
        <f aca="false">IF($A120&lt;&gt;"Seçildi","",IF($H120="","⚠ Öğretim Elemanı Eksik","✓ Tamam"))</f>
        <v/>
      </c>
    </row>
    <row r="121" customFormat="false" ht="15.75" hidden="false" customHeight="true" outlineLevel="0" collapsed="false">
      <c r="A121" s="17" t="n">
        <f aca="false">'1-Ders Havuzu'!K121</f>
        <v>0</v>
      </c>
      <c r="B121" s="17" t="str">
        <f aca="false">IF($A121="Seçildi",IF('1-Ders Havuzu'!C121="","",'1-Ders Havuzu'!C121),"")</f>
        <v/>
      </c>
      <c r="C121" s="24" t="str">
        <f aca="false">IF($A121="Seçildi",IF('1-Ders Havuzu'!D121="","",'1-Ders Havuzu'!D121),"")</f>
        <v/>
      </c>
      <c r="D121" s="17" t="str">
        <f aca="false">IF($A121="Seçildi",IF('1-Ders Havuzu'!B121="","",'1-Ders Havuzu'!B121),"")</f>
        <v/>
      </c>
      <c r="E121" s="17" t="str">
        <f aca="false">IF($A121="Seçildi",IF('1-Ders Havuzu'!A121="","",'1-Ders Havuzu'!A121),"")</f>
        <v/>
      </c>
      <c r="F121" s="17" t="str">
        <f aca="false">IF($A121="Seçildi",IF('1-Ders Havuzu'!J121="","",'1-Ders Havuzu'!J121),"")</f>
        <v/>
      </c>
      <c r="G121" s="17" t="str">
        <f aca="false">IF($A121="Seçildi",IF('1-Ders Havuzu'!H121="","",'1-Ders Havuzu'!H121),"")</f>
        <v/>
      </c>
      <c r="H121" s="24" t="str">
        <f aca="false">IF($A121="Seçildi",IF('2-Ders-Öğr.Elemanı Eşleştirme'!H121="","",'2-Ders-Öğr.Elemanı Eşleştirme'!H121),"")</f>
        <v/>
      </c>
      <c r="I121" s="17" t="str">
        <f aca="false">IF($A121&lt;&gt;"Seçildi","",IF($H121="","⚠ Öğretim Elemanı Eksik","✓ Tamam"))</f>
        <v/>
      </c>
    </row>
    <row r="122" customFormat="false" ht="15.75" hidden="false" customHeight="true" outlineLevel="0" collapsed="false">
      <c r="A122" s="19" t="n">
        <f aca="false">'1-Ders Havuzu'!K122</f>
        <v>0</v>
      </c>
      <c r="B122" s="19" t="str">
        <f aca="false">IF($A122="Seçildi",IF('1-Ders Havuzu'!C122="","",'1-Ders Havuzu'!C122),"")</f>
        <v/>
      </c>
      <c r="C122" s="26" t="str">
        <f aca="false">IF($A122="Seçildi",IF('1-Ders Havuzu'!D122="","",'1-Ders Havuzu'!D122),"")</f>
        <v/>
      </c>
      <c r="D122" s="19" t="str">
        <f aca="false">IF($A122="Seçildi",IF('1-Ders Havuzu'!B122="","",'1-Ders Havuzu'!B122),"")</f>
        <v/>
      </c>
      <c r="E122" s="19" t="str">
        <f aca="false">IF($A122="Seçildi",IF('1-Ders Havuzu'!A122="","",'1-Ders Havuzu'!A122),"")</f>
        <v/>
      </c>
      <c r="F122" s="19" t="str">
        <f aca="false">IF($A122="Seçildi",IF('1-Ders Havuzu'!J122="","",'1-Ders Havuzu'!J122),"")</f>
        <v/>
      </c>
      <c r="G122" s="19" t="str">
        <f aca="false">IF($A122="Seçildi",IF('1-Ders Havuzu'!H122="","",'1-Ders Havuzu'!H122),"")</f>
        <v/>
      </c>
      <c r="H122" s="26" t="str">
        <f aca="false">IF($A122="Seçildi",IF('2-Ders-Öğr.Elemanı Eşleştirme'!H122="","",'2-Ders-Öğr.Elemanı Eşleştirme'!H122),"")</f>
        <v/>
      </c>
      <c r="I122" s="19" t="str">
        <f aca="false">IF($A122&lt;&gt;"Seçildi","",IF($H122="","⚠ Öğretim Elemanı Eksik","✓ Tamam"))</f>
        <v/>
      </c>
    </row>
    <row r="123" customFormat="false" ht="15.75" hidden="false" customHeight="true" outlineLevel="0" collapsed="false">
      <c r="A123" s="17" t="n">
        <f aca="false">'1-Ders Havuzu'!K123</f>
        <v>0</v>
      </c>
      <c r="B123" s="17" t="str">
        <f aca="false">IF($A123="Seçildi",IF('1-Ders Havuzu'!C123="","",'1-Ders Havuzu'!C123),"")</f>
        <v/>
      </c>
      <c r="C123" s="24" t="str">
        <f aca="false">IF($A123="Seçildi",IF('1-Ders Havuzu'!D123="","",'1-Ders Havuzu'!D123),"")</f>
        <v/>
      </c>
      <c r="D123" s="17" t="str">
        <f aca="false">IF($A123="Seçildi",IF('1-Ders Havuzu'!B123="","",'1-Ders Havuzu'!B123),"")</f>
        <v/>
      </c>
      <c r="E123" s="17" t="str">
        <f aca="false">IF($A123="Seçildi",IF('1-Ders Havuzu'!A123="","",'1-Ders Havuzu'!A123),"")</f>
        <v/>
      </c>
      <c r="F123" s="17" t="str">
        <f aca="false">IF($A123="Seçildi",IF('1-Ders Havuzu'!J123="","",'1-Ders Havuzu'!J123),"")</f>
        <v/>
      </c>
      <c r="G123" s="17" t="str">
        <f aca="false">IF($A123="Seçildi",IF('1-Ders Havuzu'!H123="","",'1-Ders Havuzu'!H123),"")</f>
        <v/>
      </c>
      <c r="H123" s="24" t="str">
        <f aca="false">IF($A123="Seçildi",IF('2-Ders-Öğr.Elemanı Eşleştirme'!H123="","",'2-Ders-Öğr.Elemanı Eşleştirme'!H123),"")</f>
        <v/>
      </c>
      <c r="I123" s="17" t="str">
        <f aca="false">IF($A123&lt;&gt;"Seçildi","",IF($H123="","⚠ Öğretim Elemanı Eksik","✓ Tamam"))</f>
        <v/>
      </c>
    </row>
    <row r="124" customFormat="false" ht="15.75" hidden="false" customHeight="true" outlineLevel="0" collapsed="false">
      <c r="A124" s="19" t="n">
        <f aca="false">'1-Ders Havuzu'!K124</f>
        <v>0</v>
      </c>
      <c r="B124" s="19" t="str">
        <f aca="false">IF($A124="Seçildi",IF('1-Ders Havuzu'!C124="","",'1-Ders Havuzu'!C124),"")</f>
        <v/>
      </c>
      <c r="C124" s="26" t="str">
        <f aca="false">IF($A124="Seçildi",IF('1-Ders Havuzu'!D124="","",'1-Ders Havuzu'!D124),"")</f>
        <v/>
      </c>
      <c r="D124" s="19" t="str">
        <f aca="false">IF($A124="Seçildi",IF('1-Ders Havuzu'!B124="","",'1-Ders Havuzu'!B124),"")</f>
        <v/>
      </c>
      <c r="E124" s="19" t="str">
        <f aca="false">IF($A124="Seçildi",IF('1-Ders Havuzu'!A124="","",'1-Ders Havuzu'!A124),"")</f>
        <v/>
      </c>
      <c r="F124" s="19" t="str">
        <f aca="false">IF($A124="Seçildi",IF('1-Ders Havuzu'!J124="","",'1-Ders Havuzu'!J124),"")</f>
        <v/>
      </c>
      <c r="G124" s="19" t="str">
        <f aca="false">IF($A124="Seçildi",IF('1-Ders Havuzu'!H124="","",'1-Ders Havuzu'!H124),"")</f>
        <v/>
      </c>
      <c r="H124" s="26" t="str">
        <f aca="false">IF($A124="Seçildi",IF('2-Ders-Öğr.Elemanı Eşleştirme'!H124="","",'2-Ders-Öğr.Elemanı Eşleştirme'!H124),"")</f>
        <v/>
      </c>
      <c r="I124" s="19" t="str">
        <f aca="false">IF($A124&lt;&gt;"Seçildi","",IF($H124="","⚠ Öğretim Elemanı Eksik","✓ Tamam"))</f>
        <v/>
      </c>
    </row>
    <row r="125" customFormat="false" ht="15.75" hidden="false" customHeight="true" outlineLevel="0" collapsed="false">
      <c r="A125" s="17" t="n">
        <f aca="false">'1-Ders Havuzu'!K125</f>
        <v>0</v>
      </c>
      <c r="B125" s="17" t="str">
        <f aca="false">IF($A125="Seçildi",IF('1-Ders Havuzu'!C125="","",'1-Ders Havuzu'!C125),"")</f>
        <v/>
      </c>
      <c r="C125" s="24" t="str">
        <f aca="false">IF($A125="Seçildi",IF('1-Ders Havuzu'!D125="","",'1-Ders Havuzu'!D125),"")</f>
        <v/>
      </c>
      <c r="D125" s="17" t="str">
        <f aca="false">IF($A125="Seçildi",IF('1-Ders Havuzu'!B125="","",'1-Ders Havuzu'!B125),"")</f>
        <v/>
      </c>
      <c r="E125" s="17" t="str">
        <f aca="false">IF($A125="Seçildi",IF('1-Ders Havuzu'!A125="","",'1-Ders Havuzu'!A125),"")</f>
        <v/>
      </c>
      <c r="F125" s="17" t="str">
        <f aca="false">IF($A125="Seçildi",IF('1-Ders Havuzu'!J125="","",'1-Ders Havuzu'!J125),"")</f>
        <v/>
      </c>
      <c r="G125" s="17" t="str">
        <f aca="false">IF($A125="Seçildi",IF('1-Ders Havuzu'!H125="","",'1-Ders Havuzu'!H125),"")</f>
        <v/>
      </c>
      <c r="H125" s="24" t="str">
        <f aca="false">IF($A125="Seçildi",IF('2-Ders-Öğr.Elemanı Eşleştirme'!H125="","",'2-Ders-Öğr.Elemanı Eşleştirme'!H125),"")</f>
        <v/>
      </c>
      <c r="I125" s="17" t="str">
        <f aca="false">IF($A125&lt;&gt;"Seçildi","",IF($H125="","⚠ Öğretim Elemanı Eksik","✓ Tamam"))</f>
        <v/>
      </c>
    </row>
    <row r="126" customFormat="false" ht="15.75" hidden="false" customHeight="true" outlineLevel="0" collapsed="false">
      <c r="A126" s="19" t="n">
        <f aca="false">'1-Ders Havuzu'!K126</f>
        <v>0</v>
      </c>
      <c r="B126" s="19" t="str">
        <f aca="false">IF($A126="Seçildi",IF('1-Ders Havuzu'!C126="","",'1-Ders Havuzu'!C126),"")</f>
        <v/>
      </c>
      <c r="C126" s="26" t="str">
        <f aca="false">IF($A126="Seçildi",IF('1-Ders Havuzu'!D126="","",'1-Ders Havuzu'!D126),"")</f>
        <v/>
      </c>
      <c r="D126" s="19" t="str">
        <f aca="false">IF($A126="Seçildi",IF('1-Ders Havuzu'!B126="","",'1-Ders Havuzu'!B126),"")</f>
        <v/>
      </c>
      <c r="E126" s="19" t="str">
        <f aca="false">IF($A126="Seçildi",IF('1-Ders Havuzu'!A126="","",'1-Ders Havuzu'!A126),"")</f>
        <v/>
      </c>
      <c r="F126" s="19" t="str">
        <f aca="false">IF($A126="Seçildi",IF('1-Ders Havuzu'!J126="","",'1-Ders Havuzu'!J126),"")</f>
        <v/>
      </c>
      <c r="G126" s="19" t="str">
        <f aca="false">IF($A126="Seçildi",IF('1-Ders Havuzu'!H126="","",'1-Ders Havuzu'!H126),"")</f>
        <v/>
      </c>
      <c r="H126" s="26" t="str">
        <f aca="false">IF($A126="Seçildi",IF('2-Ders-Öğr.Elemanı Eşleştirme'!H126="","",'2-Ders-Öğr.Elemanı Eşleştirme'!H126),"")</f>
        <v/>
      </c>
      <c r="I126" s="19" t="str">
        <f aca="false">IF($A126&lt;&gt;"Seçildi","",IF($H126="","⚠ Öğretim Elemanı Eksik","✓ Tamam"))</f>
        <v/>
      </c>
    </row>
    <row r="127" customFormat="false" ht="15.75" hidden="false" customHeight="true" outlineLevel="0" collapsed="false">
      <c r="A127" s="17" t="n">
        <f aca="false">'1-Ders Havuzu'!K127</f>
        <v>0</v>
      </c>
      <c r="B127" s="17" t="str">
        <f aca="false">IF($A127="Seçildi",IF('1-Ders Havuzu'!C127="","",'1-Ders Havuzu'!C127),"")</f>
        <v/>
      </c>
      <c r="C127" s="24" t="str">
        <f aca="false">IF($A127="Seçildi",IF('1-Ders Havuzu'!D127="","",'1-Ders Havuzu'!D127),"")</f>
        <v/>
      </c>
      <c r="D127" s="17" t="str">
        <f aca="false">IF($A127="Seçildi",IF('1-Ders Havuzu'!B127="","",'1-Ders Havuzu'!B127),"")</f>
        <v/>
      </c>
      <c r="E127" s="17" t="str">
        <f aca="false">IF($A127="Seçildi",IF('1-Ders Havuzu'!A127="","",'1-Ders Havuzu'!A127),"")</f>
        <v/>
      </c>
      <c r="F127" s="17" t="str">
        <f aca="false">IF($A127="Seçildi",IF('1-Ders Havuzu'!J127="","",'1-Ders Havuzu'!J127),"")</f>
        <v/>
      </c>
      <c r="G127" s="17" t="str">
        <f aca="false">IF($A127="Seçildi",IF('1-Ders Havuzu'!H127="","",'1-Ders Havuzu'!H127),"")</f>
        <v/>
      </c>
      <c r="H127" s="24" t="str">
        <f aca="false">IF($A127="Seçildi",IF('2-Ders-Öğr.Elemanı Eşleştirme'!H127="","",'2-Ders-Öğr.Elemanı Eşleştirme'!H127),"")</f>
        <v/>
      </c>
      <c r="I127" s="17" t="str">
        <f aca="false">IF($A127&lt;&gt;"Seçildi","",IF($H127="","⚠ Öğretim Elemanı Eksik","✓ Tamam"))</f>
        <v/>
      </c>
    </row>
    <row r="128" customFormat="false" ht="15.75" hidden="false" customHeight="true" outlineLevel="0" collapsed="false">
      <c r="A128" s="19" t="n">
        <f aca="false">'1-Ders Havuzu'!K128</f>
        <v>0</v>
      </c>
      <c r="B128" s="19" t="str">
        <f aca="false">IF($A128="Seçildi",IF('1-Ders Havuzu'!C128="","",'1-Ders Havuzu'!C128),"")</f>
        <v/>
      </c>
      <c r="C128" s="26" t="str">
        <f aca="false">IF($A128="Seçildi",IF('1-Ders Havuzu'!D128="","",'1-Ders Havuzu'!D128),"")</f>
        <v/>
      </c>
      <c r="D128" s="19" t="str">
        <f aca="false">IF($A128="Seçildi",IF('1-Ders Havuzu'!B128="","",'1-Ders Havuzu'!B128),"")</f>
        <v/>
      </c>
      <c r="E128" s="19" t="str">
        <f aca="false">IF($A128="Seçildi",IF('1-Ders Havuzu'!A128="","",'1-Ders Havuzu'!A128),"")</f>
        <v/>
      </c>
      <c r="F128" s="19" t="str">
        <f aca="false">IF($A128="Seçildi",IF('1-Ders Havuzu'!J128="","",'1-Ders Havuzu'!J128),"")</f>
        <v/>
      </c>
      <c r="G128" s="19" t="str">
        <f aca="false">IF($A128="Seçildi",IF('1-Ders Havuzu'!H128="","",'1-Ders Havuzu'!H128),"")</f>
        <v/>
      </c>
      <c r="H128" s="26" t="str">
        <f aca="false">IF($A128="Seçildi",IF('2-Ders-Öğr.Elemanı Eşleştirme'!H128="","",'2-Ders-Öğr.Elemanı Eşleştirme'!H128),"")</f>
        <v/>
      </c>
      <c r="I128" s="19" t="str">
        <f aca="false">IF($A128&lt;&gt;"Seçildi","",IF($H128="","⚠ Öğretim Elemanı Eksik","✓ Tamam"))</f>
        <v/>
      </c>
    </row>
    <row r="129" customFormat="false" ht="15.75" hidden="false" customHeight="true" outlineLevel="0" collapsed="false">
      <c r="A129" s="17" t="n">
        <f aca="false">'1-Ders Havuzu'!K129</f>
        <v>0</v>
      </c>
      <c r="B129" s="17" t="str">
        <f aca="false">IF($A129="Seçildi",IF('1-Ders Havuzu'!C129="","",'1-Ders Havuzu'!C129),"")</f>
        <v/>
      </c>
      <c r="C129" s="24" t="str">
        <f aca="false">IF($A129="Seçildi",IF('1-Ders Havuzu'!D129="","",'1-Ders Havuzu'!D129),"")</f>
        <v/>
      </c>
      <c r="D129" s="17" t="str">
        <f aca="false">IF($A129="Seçildi",IF('1-Ders Havuzu'!B129="","",'1-Ders Havuzu'!B129),"")</f>
        <v/>
      </c>
      <c r="E129" s="17" t="str">
        <f aca="false">IF($A129="Seçildi",IF('1-Ders Havuzu'!A129="","",'1-Ders Havuzu'!A129),"")</f>
        <v/>
      </c>
      <c r="F129" s="17" t="str">
        <f aca="false">IF($A129="Seçildi",IF('1-Ders Havuzu'!J129="","",'1-Ders Havuzu'!J129),"")</f>
        <v/>
      </c>
      <c r="G129" s="17" t="str">
        <f aca="false">IF($A129="Seçildi",IF('1-Ders Havuzu'!H129="","",'1-Ders Havuzu'!H129),"")</f>
        <v/>
      </c>
      <c r="H129" s="24" t="str">
        <f aca="false">IF($A129="Seçildi",IF('2-Ders-Öğr.Elemanı Eşleştirme'!H129="","",'2-Ders-Öğr.Elemanı Eşleştirme'!H129),"")</f>
        <v/>
      </c>
      <c r="I129" s="17" t="str">
        <f aca="false">IF($A129&lt;&gt;"Seçildi","",IF($H129="","⚠ Öğretim Elemanı Eksik","✓ Tamam"))</f>
        <v/>
      </c>
    </row>
    <row r="130" customFormat="false" ht="15.75" hidden="false" customHeight="true" outlineLevel="0" collapsed="false">
      <c r="A130" s="19" t="n">
        <f aca="false">'1-Ders Havuzu'!K130</f>
        <v>0</v>
      </c>
      <c r="B130" s="19" t="str">
        <f aca="false">IF($A130="Seçildi",IF('1-Ders Havuzu'!C130="","",'1-Ders Havuzu'!C130),"")</f>
        <v/>
      </c>
      <c r="C130" s="26" t="str">
        <f aca="false">IF($A130="Seçildi",IF('1-Ders Havuzu'!D130="","",'1-Ders Havuzu'!D130),"")</f>
        <v/>
      </c>
      <c r="D130" s="19" t="str">
        <f aca="false">IF($A130="Seçildi",IF('1-Ders Havuzu'!B130="","",'1-Ders Havuzu'!B130),"")</f>
        <v/>
      </c>
      <c r="E130" s="19" t="str">
        <f aca="false">IF($A130="Seçildi",IF('1-Ders Havuzu'!A130="","",'1-Ders Havuzu'!A130),"")</f>
        <v/>
      </c>
      <c r="F130" s="19" t="str">
        <f aca="false">IF($A130="Seçildi",IF('1-Ders Havuzu'!J130="","",'1-Ders Havuzu'!J130),"")</f>
        <v/>
      </c>
      <c r="G130" s="19" t="str">
        <f aca="false">IF($A130="Seçildi",IF('1-Ders Havuzu'!H130="","",'1-Ders Havuzu'!H130),"")</f>
        <v/>
      </c>
      <c r="H130" s="26" t="str">
        <f aca="false">IF($A130="Seçildi",IF('2-Ders-Öğr.Elemanı Eşleştirme'!H130="","",'2-Ders-Öğr.Elemanı Eşleştirme'!H130),"")</f>
        <v/>
      </c>
      <c r="I130" s="19" t="str">
        <f aca="false">IF($A130&lt;&gt;"Seçildi","",IF($H130="","⚠ Öğretim Elemanı Eksik","✓ Tamam"))</f>
        <v/>
      </c>
    </row>
    <row r="131" customFormat="false" ht="15.75" hidden="false" customHeight="true" outlineLevel="0" collapsed="false">
      <c r="A131" s="17" t="n">
        <f aca="false">'1-Ders Havuzu'!K131</f>
        <v>0</v>
      </c>
      <c r="B131" s="17" t="str">
        <f aca="false">IF($A131="Seçildi",IF('1-Ders Havuzu'!C131="","",'1-Ders Havuzu'!C131),"")</f>
        <v/>
      </c>
      <c r="C131" s="24" t="str">
        <f aca="false">IF($A131="Seçildi",IF('1-Ders Havuzu'!D131="","",'1-Ders Havuzu'!D131),"")</f>
        <v/>
      </c>
      <c r="D131" s="17" t="str">
        <f aca="false">IF($A131="Seçildi",IF('1-Ders Havuzu'!B131="","",'1-Ders Havuzu'!B131),"")</f>
        <v/>
      </c>
      <c r="E131" s="17" t="str">
        <f aca="false">IF($A131="Seçildi",IF('1-Ders Havuzu'!A131="","",'1-Ders Havuzu'!A131),"")</f>
        <v/>
      </c>
      <c r="F131" s="17" t="str">
        <f aca="false">IF($A131="Seçildi",IF('1-Ders Havuzu'!J131="","",'1-Ders Havuzu'!J131),"")</f>
        <v/>
      </c>
      <c r="G131" s="17" t="str">
        <f aca="false">IF($A131="Seçildi",IF('1-Ders Havuzu'!H131="","",'1-Ders Havuzu'!H131),"")</f>
        <v/>
      </c>
      <c r="H131" s="24" t="str">
        <f aca="false">IF($A131="Seçildi",IF('2-Ders-Öğr.Elemanı Eşleştirme'!H131="","",'2-Ders-Öğr.Elemanı Eşleştirme'!H131),"")</f>
        <v/>
      </c>
      <c r="I131" s="17" t="str">
        <f aca="false">IF($A131&lt;&gt;"Seçildi","",IF($H131="","⚠ Öğretim Elemanı Eksik","✓ Tamam"))</f>
        <v/>
      </c>
    </row>
    <row r="132" customFormat="false" ht="15.75" hidden="false" customHeight="true" outlineLevel="0" collapsed="false">
      <c r="A132" s="19" t="n">
        <f aca="false">'1-Ders Havuzu'!K132</f>
        <v>0</v>
      </c>
      <c r="B132" s="19" t="str">
        <f aca="false">IF($A132="Seçildi",IF('1-Ders Havuzu'!C132="","",'1-Ders Havuzu'!C132),"")</f>
        <v/>
      </c>
      <c r="C132" s="26" t="str">
        <f aca="false">IF($A132="Seçildi",IF('1-Ders Havuzu'!D132="","",'1-Ders Havuzu'!D132),"")</f>
        <v/>
      </c>
      <c r="D132" s="19" t="str">
        <f aca="false">IF($A132="Seçildi",IF('1-Ders Havuzu'!B132="","",'1-Ders Havuzu'!B132),"")</f>
        <v/>
      </c>
      <c r="E132" s="19" t="str">
        <f aca="false">IF($A132="Seçildi",IF('1-Ders Havuzu'!A132="","",'1-Ders Havuzu'!A132),"")</f>
        <v/>
      </c>
      <c r="F132" s="19" t="str">
        <f aca="false">IF($A132="Seçildi",IF('1-Ders Havuzu'!J132="","",'1-Ders Havuzu'!J132),"")</f>
        <v/>
      </c>
      <c r="G132" s="19" t="str">
        <f aca="false">IF($A132="Seçildi",IF('1-Ders Havuzu'!H132="","",'1-Ders Havuzu'!H132),"")</f>
        <v/>
      </c>
      <c r="H132" s="26" t="str">
        <f aca="false">IF($A132="Seçildi",IF('2-Ders-Öğr.Elemanı Eşleştirme'!H132="","",'2-Ders-Öğr.Elemanı Eşleştirme'!H132),"")</f>
        <v/>
      </c>
      <c r="I132" s="19" t="str">
        <f aca="false">IF($A132&lt;&gt;"Seçildi","",IF($H132="","⚠ Öğretim Elemanı Eksik","✓ Tamam"))</f>
        <v/>
      </c>
    </row>
    <row r="133" customFormat="false" ht="15.75" hidden="false" customHeight="true" outlineLevel="0" collapsed="false">
      <c r="A133" s="17" t="n">
        <f aca="false">'1-Ders Havuzu'!K133</f>
        <v>0</v>
      </c>
      <c r="B133" s="17" t="str">
        <f aca="false">IF($A133="Seçildi",IF('1-Ders Havuzu'!C133="","",'1-Ders Havuzu'!C133),"")</f>
        <v/>
      </c>
      <c r="C133" s="24" t="str">
        <f aca="false">IF($A133="Seçildi",IF('1-Ders Havuzu'!D133="","",'1-Ders Havuzu'!D133),"")</f>
        <v/>
      </c>
      <c r="D133" s="17" t="str">
        <f aca="false">IF($A133="Seçildi",IF('1-Ders Havuzu'!B133="","",'1-Ders Havuzu'!B133),"")</f>
        <v/>
      </c>
      <c r="E133" s="17" t="str">
        <f aca="false">IF($A133="Seçildi",IF('1-Ders Havuzu'!A133="","",'1-Ders Havuzu'!A133),"")</f>
        <v/>
      </c>
      <c r="F133" s="17" t="str">
        <f aca="false">IF($A133="Seçildi",IF('1-Ders Havuzu'!J133="","",'1-Ders Havuzu'!J133),"")</f>
        <v/>
      </c>
      <c r="G133" s="17" t="str">
        <f aca="false">IF($A133="Seçildi",IF('1-Ders Havuzu'!H133="","",'1-Ders Havuzu'!H133),"")</f>
        <v/>
      </c>
      <c r="H133" s="24" t="str">
        <f aca="false">IF($A133="Seçildi",IF('2-Ders-Öğr.Elemanı Eşleştirme'!H133="","",'2-Ders-Öğr.Elemanı Eşleştirme'!H133),"")</f>
        <v/>
      </c>
      <c r="I133" s="17" t="str">
        <f aca="false">IF($A133&lt;&gt;"Seçildi","",IF($H133="","⚠ Öğretim Elemanı Eksik","✓ Tamam"))</f>
        <v/>
      </c>
    </row>
    <row r="134" customFormat="false" ht="15.75" hidden="false" customHeight="true" outlineLevel="0" collapsed="false">
      <c r="A134" s="19" t="n">
        <f aca="false">'1-Ders Havuzu'!K134</f>
        <v>0</v>
      </c>
      <c r="B134" s="19" t="str">
        <f aca="false">IF($A134="Seçildi",IF('1-Ders Havuzu'!C134="","",'1-Ders Havuzu'!C134),"")</f>
        <v/>
      </c>
      <c r="C134" s="26" t="str">
        <f aca="false">IF($A134="Seçildi",IF('1-Ders Havuzu'!D134="","",'1-Ders Havuzu'!D134),"")</f>
        <v/>
      </c>
      <c r="D134" s="19" t="str">
        <f aca="false">IF($A134="Seçildi",IF('1-Ders Havuzu'!B134="","",'1-Ders Havuzu'!B134),"")</f>
        <v/>
      </c>
      <c r="E134" s="19" t="str">
        <f aca="false">IF($A134="Seçildi",IF('1-Ders Havuzu'!A134="","",'1-Ders Havuzu'!A134),"")</f>
        <v/>
      </c>
      <c r="F134" s="19" t="str">
        <f aca="false">IF($A134="Seçildi",IF('1-Ders Havuzu'!J134="","",'1-Ders Havuzu'!J134),"")</f>
        <v/>
      </c>
      <c r="G134" s="19" t="str">
        <f aca="false">IF($A134="Seçildi",IF('1-Ders Havuzu'!H134="","",'1-Ders Havuzu'!H134),"")</f>
        <v/>
      </c>
      <c r="H134" s="26" t="str">
        <f aca="false">IF($A134="Seçildi",IF('2-Ders-Öğr.Elemanı Eşleştirme'!H134="","",'2-Ders-Öğr.Elemanı Eşleştirme'!H134),"")</f>
        <v/>
      </c>
      <c r="I134" s="19" t="str">
        <f aca="false">IF($A134&lt;&gt;"Seçildi","",IF($H134="","⚠ Öğretim Elemanı Eksik","✓ Tamam"))</f>
        <v/>
      </c>
    </row>
    <row r="135" customFormat="false" ht="15.75" hidden="false" customHeight="true" outlineLevel="0" collapsed="false">
      <c r="A135" s="17" t="n">
        <f aca="false">'1-Ders Havuzu'!K135</f>
        <v>0</v>
      </c>
      <c r="B135" s="17" t="str">
        <f aca="false">IF($A135="Seçildi",IF('1-Ders Havuzu'!C135="","",'1-Ders Havuzu'!C135),"")</f>
        <v/>
      </c>
      <c r="C135" s="24" t="str">
        <f aca="false">IF($A135="Seçildi",IF('1-Ders Havuzu'!D135="","",'1-Ders Havuzu'!D135),"")</f>
        <v/>
      </c>
      <c r="D135" s="17" t="str">
        <f aca="false">IF($A135="Seçildi",IF('1-Ders Havuzu'!B135="","",'1-Ders Havuzu'!B135),"")</f>
        <v/>
      </c>
      <c r="E135" s="17" t="str">
        <f aca="false">IF($A135="Seçildi",IF('1-Ders Havuzu'!A135="","",'1-Ders Havuzu'!A135),"")</f>
        <v/>
      </c>
      <c r="F135" s="17" t="str">
        <f aca="false">IF($A135="Seçildi",IF('1-Ders Havuzu'!J135="","",'1-Ders Havuzu'!J135),"")</f>
        <v/>
      </c>
      <c r="G135" s="17" t="str">
        <f aca="false">IF($A135="Seçildi",IF('1-Ders Havuzu'!H135="","",'1-Ders Havuzu'!H135),"")</f>
        <v/>
      </c>
      <c r="H135" s="24" t="str">
        <f aca="false">IF($A135="Seçildi",IF('2-Ders-Öğr.Elemanı Eşleştirme'!H135="","",'2-Ders-Öğr.Elemanı Eşleştirme'!H135),"")</f>
        <v/>
      </c>
      <c r="I135" s="17" t="str">
        <f aca="false">IF($A135&lt;&gt;"Seçildi","",IF($H135="","⚠ Öğretim Elemanı Eksik","✓ Tamam"))</f>
        <v/>
      </c>
    </row>
    <row r="136" customFormat="false" ht="15.75" hidden="false" customHeight="true" outlineLevel="0" collapsed="false">
      <c r="A136" s="19" t="n">
        <f aca="false">'1-Ders Havuzu'!K136</f>
        <v>0</v>
      </c>
      <c r="B136" s="19" t="str">
        <f aca="false">IF($A136="Seçildi",IF('1-Ders Havuzu'!C136="","",'1-Ders Havuzu'!C136),"")</f>
        <v/>
      </c>
      <c r="C136" s="26" t="str">
        <f aca="false">IF($A136="Seçildi",IF('1-Ders Havuzu'!D136="","",'1-Ders Havuzu'!D136),"")</f>
        <v/>
      </c>
      <c r="D136" s="19" t="str">
        <f aca="false">IF($A136="Seçildi",IF('1-Ders Havuzu'!B136="","",'1-Ders Havuzu'!B136),"")</f>
        <v/>
      </c>
      <c r="E136" s="19" t="str">
        <f aca="false">IF($A136="Seçildi",IF('1-Ders Havuzu'!A136="","",'1-Ders Havuzu'!A136),"")</f>
        <v/>
      </c>
      <c r="F136" s="19" t="str">
        <f aca="false">IF($A136="Seçildi",IF('1-Ders Havuzu'!J136="","",'1-Ders Havuzu'!J136),"")</f>
        <v/>
      </c>
      <c r="G136" s="19" t="str">
        <f aca="false">IF($A136="Seçildi",IF('1-Ders Havuzu'!H136="","",'1-Ders Havuzu'!H136),"")</f>
        <v/>
      </c>
      <c r="H136" s="26" t="str">
        <f aca="false">IF($A136="Seçildi",IF('2-Ders-Öğr.Elemanı Eşleştirme'!H136="","",'2-Ders-Öğr.Elemanı Eşleştirme'!H136),"")</f>
        <v/>
      </c>
      <c r="I136" s="19" t="str">
        <f aca="false">IF($A136&lt;&gt;"Seçildi","",IF($H136="","⚠ Öğretim Elemanı Eksik","✓ Tamam"))</f>
        <v/>
      </c>
    </row>
    <row r="137" customFormat="false" ht="15.75" hidden="false" customHeight="true" outlineLevel="0" collapsed="false">
      <c r="A137" s="17" t="n">
        <f aca="false">'1-Ders Havuzu'!K137</f>
        <v>0</v>
      </c>
      <c r="B137" s="17" t="str">
        <f aca="false">IF($A137="Seçildi",IF('1-Ders Havuzu'!C137="","",'1-Ders Havuzu'!C137),"")</f>
        <v/>
      </c>
      <c r="C137" s="24" t="str">
        <f aca="false">IF($A137="Seçildi",IF('1-Ders Havuzu'!D137="","",'1-Ders Havuzu'!D137),"")</f>
        <v/>
      </c>
      <c r="D137" s="17" t="str">
        <f aca="false">IF($A137="Seçildi",IF('1-Ders Havuzu'!B137="","",'1-Ders Havuzu'!B137),"")</f>
        <v/>
      </c>
      <c r="E137" s="17" t="str">
        <f aca="false">IF($A137="Seçildi",IF('1-Ders Havuzu'!A137="","",'1-Ders Havuzu'!A137),"")</f>
        <v/>
      </c>
      <c r="F137" s="17" t="str">
        <f aca="false">IF($A137="Seçildi",IF('1-Ders Havuzu'!J137="","",'1-Ders Havuzu'!J137),"")</f>
        <v/>
      </c>
      <c r="G137" s="17" t="str">
        <f aca="false">IF($A137="Seçildi",IF('1-Ders Havuzu'!H137="","",'1-Ders Havuzu'!H137),"")</f>
        <v/>
      </c>
      <c r="H137" s="24" t="str">
        <f aca="false">IF($A137="Seçildi",IF('2-Ders-Öğr.Elemanı Eşleştirme'!H137="","",'2-Ders-Öğr.Elemanı Eşleştirme'!H137),"")</f>
        <v/>
      </c>
      <c r="I137" s="17" t="str">
        <f aca="false">IF($A137&lt;&gt;"Seçildi","",IF($H137="","⚠ Öğretim Elemanı Eksik","✓ Tamam"))</f>
        <v/>
      </c>
    </row>
    <row r="138" customFormat="false" ht="15.75" hidden="false" customHeight="true" outlineLevel="0" collapsed="false">
      <c r="A138" s="19" t="n">
        <f aca="false">'1-Ders Havuzu'!K138</f>
        <v>0</v>
      </c>
      <c r="B138" s="19" t="str">
        <f aca="false">IF($A138="Seçildi",IF('1-Ders Havuzu'!C138="","",'1-Ders Havuzu'!C138),"")</f>
        <v/>
      </c>
      <c r="C138" s="26" t="str">
        <f aca="false">IF($A138="Seçildi",IF('1-Ders Havuzu'!D138="","",'1-Ders Havuzu'!D138),"")</f>
        <v/>
      </c>
      <c r="D138" s="19" t="str">
        <f aca="false">IF($A138="Seçildi",IF('1-Ders Havuzu'!B138="","",'1-Ders Havuzu'!B138),"")</f>
        <v/>
      </c>
      <c r="E138" s="19" t="str">
        <f aca="false">IF($A138="Seçildi",IF('1-Ders Havuzu'!A138="","",'1-Ders Havuzu'!A138),"")</f>
        <v/>
      </c>
      <c r="F138" s="19" t="str">
        <f aca="false">IF($A138="Seçildi",IF('1-Ders Havuzu'!J138="","",'1-Ders Havuzu'!J138),"")</f>
        <v/>
      </c>
      <c r="G138" s="19" t="str">
        <f aca="false">IF($A138="Seçildi",IF('1-Ders Havuzu'!H138="","",'1-Ders Havuzu'!H138),"")</f>
        <v/>
      </c>
      <c r="H138" s="26" t="str">
        <f aca="false">IF($A138="Seçildi",IF('2-Ders-Öğr.Elemanı Eşleştirme'!H138="","",'2-Ders-Öğr.Elemanı Eşleştirme'!H138),"")</f>
        <v/>
      </c>
      <c r="I138" s="19" t="str">
        <f aca="false">IF($A138&lt;&gt;"Seçildi","",IF($H138="","⚠ Öğretim Elemanı Eksik","✓ Tamam"))</f>
        <v/>
      </c>
    </row>
    <row r="139" customFormat="false" ht="15.75" hidden="false" customHeight="true" outlineLevel="0" collapsed="false">
      <c r="A139" s="17" t="n">
        <f aca="false">'1-Ders Havuzu'!K139</f>
        <v>0</v>
      </c>
      <c r="B139" s="17" t="str">
        <f aca="false">IF($A139="Seçildi",IF('1-Ders Havuzu'!C139="","",'1-Ders Havuzu'!C139),"")</f>
        <v/>
      </c>
      <c r="C139" s="24" t="str">
        <f aca="false">IF($A139="Seçildi",IF('1-Ders Havuzu'!D139="","",'1-Ders Havuzu'!D139),"")</f>
        <v/>
      </c>
      <c r="D139" s="17" t="str">
        <f aca="false">IF($A139="Seçildi",IF('1-Ders Havuzu'!B139="","",'1-Ders Havuzu'!B139),"")</f>
        <v/>
      </c>
      <c r="E139" s="17" t="str">
        <f aca="false">IF($A139="Seçildi",IF('1-Ders Havuzu'!A139="","",'1-Ders Havuzu'!A139),"")</f>
        <v/>
      </c>
      <c r="F139" s="17" t="str">
        <f aca="false">IF($A139="Seçildi",IF('1-Ders Havuzu'!J139="","",'1-Ders Havuzu'!J139),"")</f>
        <v/>
      </c>
      <c r="G139" s="17" t="str">
        <f aca="false">IF($A139="Seçildi",IF('1-Ders Havuzu'!H139="","",'1-Ders Havuzu'!H139),"")</f>
        <v/>
      </c>
      <c r="H139" s="24" t="str">
        <f aca="false">IF($A139="Seçildi",IF('2-Ders-Öğr.Elemanı Eşleştirme'!H139="","",'2-Ders-Öğr.Elemanı Eşleştirme'!H139),"")</f>
        <v/>
      </c>
      <c r="I139" s="17" t="str">
        <f aca="false">IF($A139&lt;&gt;"Seçildi","",IF($H139="","⚠ Öğretim Elemanı Eksik","✓ Tamam"))</f>
        <v/>
      </c>
    </row>
    <row r="140" customFormat="false" ht="15.75" hidden="false" customHeight="true" outlineLevel="0" collapsed="false">
      <c r="A140" s="19" t="n">
        <f aca="false">'1-Ders Havuzu'!K140</f>
        <v>0</v>
      </c>
      <c r="B140" s="19" t="str">
        <f aca="false">IF($A140="Seçildi",IF('1-Ders Havuzu'!C140="","",'1-Ders Havuzu'!C140),"")</f>
        <v/>
      </c>
      <c r="C140" s="26" t="str">
        <f aca="false">IF($A140="Seçildi",IF('1-Ders Havuzu'!D140="","",'1-Ders Havuzu'!D140),"")</f>
        <v/>
      </c>
      <c r="D140" s="19" t="str">
        <f aca="false">IF($A140="Seçildi",IF('1-Ders Havuzu'!B140="","",'1-Ders Havuzu'!B140),"")</f>
        <v/>
      </c>
      <c r="E140" s="19" t="str">
        <f aca="false">IF($A140="Seçildi",IF('1-Ders Havuzu'!A140="","",'1-Ders Havuzu'!A140),"")</f>
        <v/>
      </c>
      <c r="F140" s="19" t="str">
        <f aca="false">IF($A140="Seçildi",IF('1-Ders Havuzu'!J140="","",'1-Ders Havuzu'!J140),"")</f>
        <v/>
      </c>
      <c r="G140" s="19" t="str">
        <f aca="false">IF($A140="Seçildi",IF('1-Ders Havuzu'!H140="","",'1-Ders Havuzu'!H140),"")</f>
        <v/>
      </c>
      <c r="H140" s="26" t="str">
        <f aca="false">IF($A140="Seçildi",IF('2-Ders-Öğr.Elemanı Eşleştirme'!H140="","",'2-Ders-Öğr.Elemanı Eşleştirme'!H140),"")</f>
        <v/>
      </c>
      <c r="I140" s="19" t="str">
        <f aca="false">IF($A140&lt;&gt;"Seçildi","",IF($H140="","⚠ Öğretim Elemanı Eksik","✓ Tamam"))</f>
        <v/>
      </c>
    </row>
    <row r="141" customFormat="false" ht="15.75" hidden="false" customHeight="true" outlineLevel="0" collapsed="false">
      <c r="A141" s="17" t="n">
        <f aca="false">'1-Ders Havuzu'!K141</f>
        <v>0</v>
      </c>
      <c r="B141" s="17" t="str">
        <f aca="false">IF($A141="Seçildi",IF('1-Ders Havuzu'!C141="","",'1-Ders Havuzu'!C141),"")</f>
        <v/>
      </c>
      <c r="C141" s="24" t="str">
        <f aca="false">IF($A141="Seçildi",IF('1-Ders Havuzu'!D141="","",'1-Ders Havuzu'!D141),"")</f>
        <v/>
      </c>
      <c r="D141" s="17" t="str">
        <f aca="false">IF($A141="Seçildi",IF('1-Ders Havuzu'!B141="","",'1-Ders Havuzu'!B141),"")</f>
        <v/>
      </c>
      <c r="E141" s="17" t="str">
        <f aca="false">IF($A141="Seçildi",IF('1-Ders Havuzu'!A141="","",'1-Ders Havuzu'!A141),"")</f>
        <v/>
      </c>
      <c r="F141" s="17" t="str">
        <f aca="false">IF($A141="Seçildi",IF('1-Ders Havuzu'!J141="","",'1-Ders Havuzu'!J141),"")</f>
        <v/>
      </c>
      <c r="G141" s="17" t="str">
        <f aca="false">IF($A141="Seçildi",IF('1-Ders Havuzu'!H141="","",'1-Ders Havuzu'!H141),"")</f>
        <v/>
      </c>
      <c r="H141" s="24" t="str">
        <f aca="false">IF($A141="Seçildi",IF('2-Ders-Öğr.Elemanı Eşleştirme'!H141="","",'2-Ders-Öğr.Elemanı Eşleştirme'!H141),"")</f>
        <v/>
      </c>
      <c r="I141" s="17" t="str">
        <f aca="false">IF($A141&lt;&gt;"Seçildi","",IF($H141="","⚠ Öğretim Elemanı Eksik","✓ Tamam"))</f>
        <v/>
      </c>
    </row>
    <row r="142" customFormat="false" ht="15.75" hidden="false" customHeight="true" outlineLevel="0" collapsed="false">
      <c r="A142" s="19" t="n">
        <f aca="false">'1-Ders Havuzu'!K142</f>
        <v>0</v>
      </c>
      <c r="B142" s="19" t="str">
        <f aca="false">IF($A142="Seçildi",IF('1-Ders Havuzu'!C142="","",'1-Ders Havuzu'!C142),"")</f>
        <v/>
      </c>
      <c r="C142" s="26" t="str">
        <f aca="false">IF($A142="Seçildi",IF('1-Ders Havuzu'!D142="","",'1-Ders Havuzu'!D142),"")</f>
        <v/>
      </c>
      <c r="D142" s="19" t="str">
        <f aca="false">IF($A142="Seçildi",IF('1-Ders Havuzu'!B142="","",'1-Ders Havuzu'!B142),"")</f>
        <v/>
      </c>
      <c r="E142" s="19" t="str">
        <f aca="false">IF($A142="Seçildi",IF('1-Ders Havuzu'!A142="","",'1-Ders Havuzu'!A142),"")</f>
        <v/>
      </c>
      <c r="F142" s="19" t="str">
        <f aca="false">IF($A142="Seçildi",IF('1-Ders Havuzu'!J142="","",'1-Ders Havuzu'!J142),"")</f>
        <v/>
      </c>
      <c r="G142" s="19" t="str">
        <f aca="false">IF($A142="Seçildi",IF('1-Ders Havuzu'!H142="","",'1-Ders Havuzu'!H142),"")</f>
        <v/>
      </c>
      <c r="H142" s="26" t="str">
        <f aca="false">IF($A142="Seçildi",IF('2-Ders-Öğr.Elemanı Eşleştirme'!H142="","",'2-Ders-Öğr.Elemanı Eşleştirme'!H142),"")</f>
        <v/>
      </c>
      <c r="I142" s="19" t="str">
        <f aca="false">IF($A142&lt;&gt;"Seçildi","",IF($H142="","⚠ Öğretim Elemanı Eksik","✓ Tamam"))</f>
        <v/>
      </c>
    </row>
    <row r="143" customFormat="false" ht="15.75" hidden="false" customHeight="true" outlineLevel="0" collapsed="false">
      <c r="A143" s="17" t="n">
        <f aca="false">'1-Ders Havuzu'!K143</f>
        <v>0</v>
      </c>
      <c r="B143" s="17" t="str">
        <f aca="false">IF($A143="Seçildi",IF('1-Ders Havuzu'!C143="","",'1-Ders Havuzu'!C143),"")</f>
        <v/>
      </c>
      <c r="C143" s="24" t="str">
        <f aca="false">IF($A143="Seçildi",IF('1-Ders Havuzu'!D143="","",'1-Ders Havuzu'!D143),"")</f>
        <v/>
      </c>
      <c r="D143" s="17" t="str">
        <f aca="false">IF($A143="Seçildi",IF('1-Ders Havuzu'!B143="","",'1-Ders Havuzu'!B143),"")</f>
        <v/>
      </c>
      <c r="E143" s="17" t="str">
        <f aca="false">IF($A143="Seçildi",IF('1-Ders Havuzu'!A143="","",'1-Ders Havuzu'!A143),"")</f>
        <v/>
      </c>
      <c r="F143" s="17" t="str">
        <f aca="false">IF($A143="Seçildi",IF('1-Ders Havuzu'!J143="","",'1-Ders Havuzu'!J143),"")</f>
        <v/>
      </c>
      <c r="G143" s="17" t="str">
        <f aca="false">IF($A143="Seçildi",IF('1-Ders Havuzu'!H143="","",'1-Ders Havuzu'!H143),"")</f>
        <v/>
      </c>
      <c r="H143" s="24" t="str">
        <f aca="false">IF($A143="Seçildi",IF('2-Ders-Öğr.Elemanı Eşleştirme'!H143="","",'2-Ders-Öğr.Elemanı Eşleştirme'!H143),"")</f>
        <v/>
      </c>
      <c r="I143" s="17" t="str">
        <f aca="false">IF($A143&lt;&gt;"Seçildi","",IF($H143="","⚠ Öğretim Elemanı Eksik","✓ Tamam"))</f>
        <v/>
      </c>
    </row>
    <row r="144" customFormat="false" ht="15.75" hidden="false" customHeight="true" outlineLevel="0" collapsed="false">
      <c r="A144" s="19" t="n">
        <f aca="false">'1-Ders Havuzu'!K144</f>
        <v>0</v>
      </c>
      <c r="B144" s="19" t="str">
        <f aca="false">IF($A144="Seçildi",IF('1-Ders Havuzu'!C144="","",'1-Ders Havuzu'!C144),"")</f>
        <v/>
      </c>
      <c r="C144" s="26" t="str">
        <f aca="false">IF($A144="Seçildi",IF('1-Ders Havuzu'!D144="","",'1-Ders Havuzu'!D144),"")</f>
        <v/>
      </c>
      <c r="D144" s="19" t="str">
        <f aca="false">IF($A144="Seçildi",IF('1-Ders Havuzu'!B144="","",'1-Ders Havuzu'!B144),"")</f>
        <v/>
      </c>
      <c r="E144" s="19" t="str">
        <f aca="false">IF($A144="Seçildi",IF('1-Ders Havuzu'!A144="","",'1-Ders Havuzu'!A144),"")</f>
        <v/>
      </c>
      <c r="F144" s="19" t="str">
        <f aca="false">IF($A144="Seçildi",IF('1-Ders Havuzu'!J144="","",'1-Ders Havuzu'!J144),"")</f>
        <v/>
      </c>
      <c r="G144" s="19" t="str">
        <f aca="false">IF($A144="Seçildi",IF('1-Ders Havuzu'!H144="","",'1-Ders Havuzu'!H144),"")</f>
        <v/>
      </c>
      <c r="H144" s="26" t="str">
        <f aca="false">IF($A144="Seçildi",IF('2-Ders-Öğr.Elemanı Eşleştirme'!H144="","",'2-Ders-Öğr.Elemanı Eşleştirme'!H144),"")</f>
        <v/>
      </c>
      <c r="I144" s="19" t="str">
        <f aca="false">IF($A144&lt;&gt;"Seçildi","",IF($H144="","⚠ Öğretim Elemanı Eksik","✓ Tamam"))</f>
        <v/>
      </c>
    </row>
    <row r="145" customFormat="false" ht="15.75" hidden="false" customHeight="true" outlineLevel="0" collapsed="false">
      <c r="A145" s="17" t="n">
        <f aca="false">'1-Ders Havuzu'!K145</f>
        <v>0</v>
      </c>
      <c r="B145" s="17" t="str">
        <f aca="false">IF($A145="Seçildi",IF('1-Ders Havuzu'!C145="","",'1-Ders Havuzu'!C145),"")</f>
        <v/>
      </c>
      <c r="C145" s="24" t="str">
        <f aca="false">IF($A145="Seçildi",IF('1-Ders Havuzu'!D145="","",'1-Ders Havuzu'!D145),"")</f>
        <v/>
      </c>
      <c r="D145" s="17" t="str">
        <f aca="false">IF($A145="Seçildi",IF('1-Ders Havuzu'!B145="","",'1-Ders Havuzu'!B145),"")</f>
        <v/>
      </c>
      <c r="E145" s="17" t="str">
        <f aca="false">IF($A145="Seçildi",IF('1-Ders Havuzu'!A145="","",'1-Ders Havuzu'!A145),"")</f>
        <v/>
      </c>
      <c r="F145" s="17" t="str">
        <f aca="false">IF($A145="Seçildi",IF('1-Ders Havuzu'!J145="","",'1-Ders Havuzu'!J145),"")</f>
        <v/>
      </c>
      <c r="G145" s="17" t="str">
        <f aca="false">IF($A145="Seçildi",IF('1-Ders Havuzu'!H145="","",'1-Ders Havuzu'!H145),"")</f>
        <v/>
      </c>
      <c r="H145" s="24" t="str">
        <f aca="false">IF($A145="Seçildi",IF('2-Ders-Öğr.Elemanı Eşleştirme'!H145="","",'2-Ders-Öğr.Elemanı Eşleştirme'!H145),"")</f>
        <v/>
      </c>
      <c r="I145" s="17" t="str">
        <f aca="false">IF($A145&lt;&gt;"Seçildi","",IF($H145="","⚠ Öğretim Elemanı Eksik","✓ Tamam"))</f>
        <v/>
      </c>
    </row>
    <row r="146" customFormat="false" ht="15.75" hidden="false" customHeight="true" outlineLevel="0" collapsed="false">
      <c r="A146" s="19" t="n">
        <f aca="false">'1-Ders Havuzu'!K146</f>
        <v>0</v>
      </c>
      <c r="B146" s="19" t="str">
        <f aca="false">IF($A146="Seçildi",IF('1-Ders Havuzu'!C146="","",'1-Ders Havuzu'!C146),"")</f>
        <v/>
      </c>
      <c r="C146" s="26" t="str">
        <f aca="false">IF($A146="Seçildi",IF('1-Ders Havuzu'!D146="","",'1-Ders Havuzu'!D146),"")</f>
        <v/>
      </c>
      <c r="D146" s="19" t="str">
        <f aca="false">IF($A146="Seçildi",IF('1-Ders Havuzu'!B146="","",'1-Ders Havuzu'!B146),"")</f>
        <v/>
      </c>
      <c r="E146" s="19" t="str">
        <f aca="false">IF($A146="Seçildi",IF('1-Ders Havuzu'!A146="","",'1-Ders Havuzu'!A146),"")</f>
        <v/>
      </c>
      <c r="F146" s="19" t="str">
        <f aca="false">IF($A146="Seçildi",IF('1-Ders Havuzu'!J146="","",'1-Ders Havuzu'!J146),"")</f>
        <v/>
      </c>
      <c r="G146" s="19" t="str">
        <f aca="false">IF($A146="Seçildi",IF('1-Ders Havuzu'!H146="","",'1-Ders Havuzu'!H146),"")</f>
        <v/>
      </c>
      <c r="H146" s="26" t="str">
        <f aca="false">IF($A146="Seçildi",IF('2-Ders-Öğr.Elemanı Eşleştirme'!H146="","",'2-Ders-Öğr.Elemanı Eşleştirme'!H146),"")</f>
        <v/>
      </c>
      <c r="I146" s="19" t="str">
        <f aca="false">IF($A146&lt;&gt;"Seçildi","",IF($H146="","⚠ Öğretim Elemanı Eksik","✓ Tamam"))</f>
        <v/>
      </c>
    </row>
    <row r="147" customFormat="false" ht="15.75" hidden="false" customHeight="true" outlineLevel="0" collapsed="false">
      <c r="A147" s="17" t="n">
        <f aca="false">'1-Ders Havuzu'!K147</f>
        <v>0</v>
      </c>
      <c r="B147" s="17" t="str">
        <f aca="false">IF($A147="Seçildi",IF('1-Ders Havuzu'!C147="","",'1-Ders Havuzu'!C147),"")</f>
        <v/>
      </c>
      <c r="C147" s="24" t="str">
        <f aca="false">IF($A147="Seçildi",IF('1-Ders Havuzu'!D147="","",'1-Ders Havuzu'!D147),"")</f>
        <v/>
      </c>
      <c r="D147" s="17" t="str">
        <f aca="false">IF($A147="Seçildi",IF('1-Ders Havuzu'!B147="","",'1-Ders Havuzu'!B147),"")</f>
        <v/>
      </c>
      <c r="E147" s="17" t="str">
        <f aca="false">IF($A147="Seçildi",IF('1-Ders Havuzu'!A147="","",'1-Ders Havuzu'!A147),"")</f>
        <v/>
      </c>
      <c r="F147" s="17" t="str">
        <f aca="false">IF($A147="Seçildi",IF('1-Ders Havuzu'!J147="","",'1-Ders Havuzu'!J147),"")</f>
        <v/>
      </c>
      <c r="G147" s="17" t="str">
        <f aca="false">IF($A147="Seçildi",IF('1-Ders Havuzu'!H147="","",'1-Ders Havuzu'!H147),"")</f>
        <v/>
      </c>
      <c r="H147" s="24" t="str">
        <f aca="false">IF($A147="Seçildi",IF('2-Ders-Öğr.Elemanı Eşleştirme'!H147="","",'2-Ders-Öğr.Elemanı Eşleştirme'!H147),"")</f>
        <v/>
      </c>
      <c r="I147" s="17" t="str">
        <f aca="false">IF($A147&lt;&gt;"Seçildi","",IF($H147="","⚠ Öğretim Elemanı Eksik","✓ Tamam"))</f>
        <v/>
      </c>
    </row>
    <row r="148" customFormat="false" ht="15.75" hidden="false" customHeight="true" outlineLevel="0" collapsed="false">
      <c r="A148" s="19" t="n">
        <f aca="false">'1-Ders Havuzu'!K148</f>
        <v>0</v>
      </c>
      <c r="B148" s="19" t="str">
        <f aca="false">IF($A148="Seçildi",IF('1-Ders Havuzu'!C148="","",'1-Ders Havuzu'!C148),"")</f>
        <v/>
      </c>
      <c r="C148" s="26" t="str">
        <f aca="false">IF($A148="Seçildi",IF('1-Ders Havuzu'!D148="","",'1-Ders Havuzu'!D148),"")</f>
        <v/>
      </c>
      <c r="D148" s="19" t="str">
        <f aca="false">IF($A148="Seçildi",IF('1-Ders Havuzu'!B148="","",'1-Ders Havuzu'!B148),"")</f>
        <v/>
      </c>
      <c r="E148" s="19" t="str">
        <f aca="false">IF($A148="Seçildi",IF('1-Ders Havuzu'!A148="","",'1-Ders Havuzu'!A148),"")</f>
        <v/>
      </c>
      <c r="F148" s="19" t="str">
        <f aca="false">IF($A148="Seçildi",IF('1-Ders Havuzu'!J148="","",'1-Ders Havuzu'!J148),"")</f>
        <v/>
      </c>
      <c r="G148" s="19" t="str">
        <f aca="false">IF($A148="Seçildi",IF('1-Ders Havuzu'!H148="","",'1-Ders Havuzu'!H148),"")</f>
        <v/>
      </c>
      <c r="H148" s="26" t="str">
        <f aca="false">IF($A148="Seçildi",IF('2-Ders-Öğr.Elemanı Eşleştirme'!H148="","",'2-Ders-Öğr.Elemanı Eşleştirme'!H148),"")</f>
        <v/>
      </c>
      <c r="I148" s="19" t="str">
        <f aca="false">IF($A148&lt;&gt;"Seçildi","",IF($H148="","⚠ Öğretim Elemanı Eksik","✓ Tamam"))</f>
        <v/>
      </c>
    </row>
    <row r="149" customFormat="false" ht="15.75" hidden="false" customHeight="true" outlineLevel="0" collapsed="false">
      <c r="A149" s="17" t="n">
        <f aca="false">'1-Ders Havuzu'!K149</f>
        <v>0</v>
      </c>
      <c r="B149" s="17" t="str">
        <f aca="false">IF($A149="Seçildi",IF('1-Ders Havuzu'!C149="","",'1-Ders Havuzu'!C149),"")</f>
        <v/>
      </c>
      <c r="C149" s="24" t="str">
        <f aca="false">IF($A149="Seçildi",IF('1-Ders Havuzu'!D149="","",'1-Ders Havuzu'!D149),"")</f>
        <v/>
      </c>
      <c r="D149" s="17" t="str">
        <f aca="false">IF($A149="Seçildi",IF('1-Ders Havuzu'!B149="","",'1-Ders Havuzu'!B149),"")</f>
        <v/>
      </c>
      <c r="E149" s="17" t="str">
        <f aca="false">IF($A149="Seçildi",IF('1-Ders Havuzu'!A149="","",'1-Ders Havuzu'!A149),"")</f>
        <v/>
      </c>
      <c r="F149" s="17" t="str">
        <f aca="false">IF($A149="Seçildi",IF('1-Ders Havuzu'!J149="","",'1-Ders Havuzu'!J149),"")</f>
        <v/>
      </c>
      <c r="G149" s="17" t="str">
        <f aca="false">IF($A149="Seçildi",IF('1-Ders Havuzu'!H149="","",'1-Ders Havuzu'!H149),"")</f>
        <v/>
      </c>
      <c r="H149" s="24" t="str">
        <f aca="false">IF($A149="Seçildi",IF('2-Ders-Öğr.Elemanı Eşleştirme'!H149="","",'2-Ders-Öğr.Elemanı Eşleştirme'!H149),"")</f>
        <v/>
      </c>
      <c r="I149" s="17" t="str">
        <f aca="false">IF($A149&lt;&gt;"Seçildi","",IF($H149="","⚠ Öğretim Elemanı Eksik","✓ Tamam"))</f>
        <v/>
      </c>
    </row>
    <row r="150" customFormat="false" ht="15.75" hidden="false" customHeight="true" outlineLevel="0" collapsed="false">
      <c r="A150" s="19" t="n">
        <f aca="false">'1-Ders Havuzu'!K150</f>
        <v>0</v>
      </c>
      <c r="B150" s="19" t="str">
        <f aca="false">IF($A150="Seçildi",IF('1-Ders Havuzu'!C150="","",'1-Ders Havuzu'!C150),"")</f>
        <v/>
      </c>
      <c r="C150" s="26" t="str">
        <f aca="false">IF($A150="Seçildi",IF('1-Ders Havuzu'!D150="","",'1-Ders Havuzu'!D150),"")</f>
        <v/>
      </c>
      <c r="D150" s="19" t="str">
        <f aca="false">IF($A150="Seçildi",IF('1-Ders Havuzu'!B150="","",'1-Ders Havuzu'!B150),"")</f>
        <v/>
      </c>
      <c r="E150" s="19" t="str">
        <f aca="false">IF($A150="Seçildi",IF('1-Ders Havuzu'!A150="","",'1-Ders Havuzu'!A150),"")</f>
        <v/>
      </c>
      <c r="F150" s="19" t="str">
        <f aca="false">IF($A150="Seçildi",IF('1-Ders Havuzu'!J150="","",'1-Ders Havuzu'!J150),"")</f>
        <v/>
      </c>
      <c r="G150" s="19" t="str">
        <f aca="false">IF($A150="Seçildi",IF('1-Ders Havuzu'!H150="","",'1-Ders Havuzu'!H150),"")</f>
        <v/>
      </c>
      <c r="H150" s="26" t="str">
        <f aca="false">IF($A150="Seçildi",IF('2-Ders-Öğr.Elemanı Eşleştirme'!H150="","",'2-Ders-Öğr.Elemanı Eşleştirme'!H150),"")</f>
        <v/>
      </c>
      <c r="I150" s="19" t="str">
        <f aca="false">IF($A150&lt;&gt;"Seçildi","",IF($H150="","⚠ Öğretim Elemanı Eksik","✓ Tamam"))</f>
        <v/>
      </c>
    </row>
    <row r="151" customFormat="false" ht="15.75" hidden="false" customHeight="true" outlineLevel="0" collapsed="false">
      <c r="A151" s="17" t="n">
        <f aca="false">'1-Ders Havuzu'!K151</f>
        <v>0</v>
      </c>
      <c r="B151" s="17" t="str">
        <f aca="false">IF($A151="Seçildi",IF('1-Ders Havuzu'!C151="","",'1-Ders Havuzu'!C151),"")</f>
        <v/>
      </c>
      <c r="C151" s="24" t="str">
        <f aca="false">IF($A151="Seçildi",IF('1-Ders Havuzu'!D151="","",'1-Ders Havuzu'!D151),"")</f>
        <v/>
      </c>
      <c r="D151" s="17" t="str">
        <f aca="false">IF($A151="Seçildi",IF('1-Ders Havuzu'!B151="","",'1-Ders Havuzu'!B151),"")</f>
        <v/>
      </c>
      <c r="E151" s="17" t="str">
        <f aca="false">IF($A151="Seçildi",IF('1-Ders Havuzu'!A151="","",'1-Ders Havuzu'!A151),"")</f>
        <v/>
      </c>
      <c r="F151" s="17" t="str">
        <f aca="false">IF($A151="Seçildi",IF('1-Ders Havuzu'!J151="","",'1-Ders Havuzu'!J151),"")</f>
        <v/>
      </c>
      <c r="G151" s="17" t="str">
        <f aca="false">IF($A151="Seçildi",IF('1-Ders Havuzu'!H151="","",'1-Ders Havuzu'!H151),"")</f>
        <v/>
      </c>
      <c r="H151" s="24" t="str">
        <f aca="false">IF($A151="Seçildi",IF('2-Ders-Öğr.Elemanı Eşleştirme'!H151="","",'2-Ders-Öğr.Elemanı Eşleştirme'!H151),"")</f>
        <v/>
      </c>
      <c r="I151" s="17" t="str">
        <f aca="false">IF($A151&lt;&gt;"Seçildi","",IF($H151="","⚠ Öğretim Elemanı Eksik","✓ Tamam"))</f>
        <v/>
      </c>
    </row>
    <row r="152" customFormat="false" ht="15.75" hidden="false" customHeight="true" outlineLevel="0" collapsed="false">
      <c r="A152" s="19" t="n">
        <f aca="false">'1-Ders Havuzu'!K152</f>
        <v>0</v>
      </c>
      <c r="B152" s="19" t="str">
        <f aca="false">IF($A152="Seçildi",IF('1-Ders Havuzu'!C152="","",'1-Ders Havuzu'!C152),"")</f>
        <v/>
      </c>
      <c r="C152" s="26" t="str">
        <f aca="false">IF($A152="Seçildi",IF('1-Ders Havuzu'!D152="","",'1-Ders Havuzu'!D152),"")</f>
        <v/>
      </c>
      <c r="D152" s="19" t="str">
        <f aca="false">IF($A152="Seçildi",IF('1-Ders Havuzu'!B152="","",'1-Ders Havuzu'!B152),"")</f>
        <v/>
      </c>
      <c r="E152" s="19" t="str">
        <f aca="false">IF($A152="Seçildi",IF('1-Ders Havuzu'!A152="","",'1-Ders Havuzu'!A152),"")</f>
        <v/>
      </c>
      <c r="F152" s="19" t="str">
        <f aca="false">IF($A152="Seçildi",IF('1-Ders Havuzu'!J152="","",'1-Ders Havuzu'!J152),"")</f>
        <v/>
      </c>
      <c r="G152" s="19" t="str">
        <f aca="false">IF($A152="Seçildi",IF('1-Ders Havuzu'!H152="","",'1-Ders Havuzu'!H152),"")</f>
        <v/>
      </c>
      <c r="H152" s="26" t="str">
        <f aca="false">IF($A152="Seçildi",IF('2-Ders-Öğr.Elemanı Eşleştirme'!H152="","",'2-Ders-Öğr.Elemanı Eşleştirme'!H152),"")</f>
        <v/>
      </c>
      <c r="I152" s="19" t="str">
        <f aca="false">IF($A152&lt;&gt;"Seçildi","",IF($H152="","⚠ Öğretim Elemanı Eksik","✓ Tamam"))</f>
        <v/>
      </c>
    </row>
  </sheetData>
  <autoFilter ref="A2:I152"/>
  <mergeCells count="1">
    <mergeCell ref="A1:I1"/>
  </mergeCells>
  <conditionalFormatting sqref="I3:I152">
    <cfRule type="cellIs" priority="2" operator="equal" aboveAverage="0" equalAverage="0" bottom="0" percent="0" rank="0" text="" dxfId="7">
      <formula>"✓ Tamam"</formula>
    </cfRule>
    <cfRule type="expression" priority="3" aboveAverage="0" equalAverage="0" bottom="0" percent="0" rank="0" text="" dxfId="8">
      <formula>LEFT(I3,1)="⚠"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8"/>
    <pageSetUpPr fitToPage="true"/>
  </sheetPr>
  <dimension ref="A1:T4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28"/>
    <col collapsed="false" customWidth="true" hidden="false" outlineLevel="0" max="4" min="4" style="0" width="8"/>
    <col collapsed="false" customWidth="true" hidden="false" outlineLevel="0" max="6" min="5" style="0" width="9"/>
    <col collapsed="false" customWidth="true" hidden="false" outlineLevel="0" max="7" min="7" style="0" width="25"/>
    <col collapsed="false" customWidth="true" hidden="false" outlineLevel="0" max="8" min="8" style="0" width="12"/>
    <col collapsed="false" customWidth="true" hidden="false" outlineLevel="0" max="10" min="9" style="0" width="13"/>
    <col collapsed="false" customWidth="true" hidden="false" outlineLevel="0" max="11" min="11" style="0" width="8"/>
    <col collapsed="false" customWidth="true" hidden="false" outlineLevel="0" max="12" min="12" style="0" width="12"/>
    <col collapsed="false" customWidth="true" hidden="true" outlineLevel="1" max="14" min="13" style="0" width="8"/>
    <col collapsed="false" customWidth="true" hidden="false" outlineLevel="0" max="15" min="15" style="0" width="13"/>
    <col collapsed="false" customWidth="true" hidden="false" outlineLevel="0" max="16" min="16" style="0" width="14"/>
    <col collapsed="false" customWidth="true" hidden="false" outlineLevel="0" max="18" min="17" style="0" width="13"/>
    <col collapsed="false" customWidth="true" hidden="false" outlineLevel="0" max="19" min="19" style="0" width="22"/>
    <col collapsed="false" customWidth="true" hidden="false" outlineLevel="0" max="20" min="20" style="0" width="13"/>
  </cols>
  <sheetData>
    <row r="1" customFormat="false" ht="30" hidden="false" customHeight="true" outlineLevel="0" collapsed="false">
      <c r="A1" s="23" t="s">
        <v>302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customFormat="false" ht="25.5" hidden="false" customHeight="true" outlineLevel="0" collapsed="false">
      <c r="A2" s="29" t="s">
        <v>303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customFormat="false" ht="19.5" hidden="false" customHeight="true" outlineLevel="0" collapsed="false">
      <c r="A3" s="30" t="s">
        <v>304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</row>
    <row r="4" customFormat="false" ht="24" hidden="false" customHeight="true" outlineLevel="0" collapsed="false">
      <c r="B4" s="31" t="s">
        <v>305</v>
      </c>
      <c r="C4" s="31"/>
      <c r="D4" s="32" t="n">
        <f aca="false">COUNTIFS($A$7:$A$456,"Seçildi",$H$7:$H$456,1,$G$7:$G$456,"")</f>
        <v>0</v>
      </c>
      <c r="F4" s="31" t="s">
        <v>306</v>
      </c>
      <c r="G4" s="31"/>
      <c r="H4" s="32" t="n">
        <f aca="false">SUMPRODUCT(($A$7:$A$456="Seçildi")*($I$7:$I$456&lt;&gt;"")*($L$7:$L$456=""))</f>
        <v>0</v>
      </c>
      <c r="J4" s="31" t="s">
        <v>307</v>
      </c>
      <c r="K4" s="31"/>
      <c r="L4" s="32" t="n">
        <f aca="false">SUMPRODUCT(($A$7:$A$456="Seçildi")*((($P$7:$P$456="⚠ Çakışma")+($Q$7:$Q$456="⚠ Çakışma")+($R$7:$R$456="⚠ Çakışma"))&gt;0))</f>
        <v>0</v>
      </c>
      <c r="O4" s="31" t="s">
        <v>308</v>
      </c>
      <c r="P4" s="31"/>
      <c r="Q4" s="32" t="n">
        <f aca="false">SUMPRODUCT(($A$7:$A$456="Seçildi")*($H$7:$H$456=1)*((($I$7:$I$456="")+($J$7:$J$456=""))&gt;0))</f>
        <v>0</v>
      </c>
      <c r="R4" s="31" t="s">
        <v>309</v>
      </c>
      <c r="S4" s="31"/>
      <c r="T4" s="32" t="n">
        <f aca="false">SUMPRODUCT(($A$7:$A$456="Seçildi")*(LEFT($S$7:$S$456&amp;" ",1)="⚠"))</f>
        <v>0</v>
      </c>
    </row>
    <row r="6" customFormat="false" ht="31.5" hidden="false" customHeight="true" outlineLevel="0" collapsed="false">
      <c r="A6" s="16" t="s">
        <v>298</v>
      </c>
      <c r="B6" s="16" t="s">
        <v>68</v>
      </c>
      <c r="C6" s="16" t="s">
        <v>69</v>
      </c>
      <c r="D6" s="16" t="s">
        <v>67</v>
      </c>
      <c r="E6" s="16" t="s">
        <v>66</v>
      </c>
      <c r="F6" s="16" t="s">
        <v>73</v>
      </c>
      <c r="G6" s="16" t="s">
        <v>299</v>
      </c>
      <c r="H6" s="16" t="s">
        <v>310</v>
      </c>
      <c r="I6" s="16" t="s">
        <v>311</v>
      </c>
      <c r="J6" s="16" t="s">
        <v>312</v>
      </c>
      <c r="K6" s="16" t="s">
        <v>313</v>
      </c>
      <c r="L6" s="16" t="s">
        <v>314</v>
      </c>
      <c r="M6" s="16" t="s">
        <v>315</v>
      </c>
      <c r="N6" s="16" t="s">
        <v>316</v>
      </c>
      <c r="O6" s="16" t="s">
        <v>317</v>
      </c>
      <c r="P6" s="16" t="s">
        <v>318</v>
      </c>
      <c r="Q6" s="16" t="s">
        <v>319</v>
      </c>
      <c r="R6" s="16" t="s">
        <v>320</v>
      </c>
      <c r="S6" s="16" t="s">
        <v>321</v>
      </c>
      <c r="T6" s="16" t="s">
        <v>322</v>
      </c>
    </row>
    <row r="7" customFormat="false" ht="13.5" hidden="false" customHeight="true" outlineLevel="0" collapsed="false">
      <c r="A7" s="33" t="str">
        <f aca="false">'1-Ders Havuzu'!K3</f>
        <v>Seçilmedi</v>
      </c>
      <c r="B7" s="33" t="str">
        <f aca="false">IF($A7="Seçildi",IF('1-Ders Havuzu'!C3="","",'1-Ders Havuzu'!C3),"")</f>
        <v/>
      </c>
      <c r="C7" s="34" t="str">
        <f aca="false">IF($A7="Seçildi",IF('1-Ders Havuzu'!D3="","",'1-Ders Havuzu'!D3),"")</f>
        <v/>
      </c>
      <c r="D7" s="33" t="str">
        <f aca="false">IF($A7="Seçildi",IF('1-Ders Havuzu'!B3="","",'1-Ders Havuzu'!B3),"")</f>
        <v/>
      </c>
      <c r="E7" s="33" t="str">
        <f aca="false">IF($A7="Seçildi",IF('1-Ders Havuzu'!A3="","",'1-Ders Havuzu'!A3),"")</f>
        <v/>
      </c>
      <c r="F7" s="33" t="str">
        <f aca="false">IF($A7="Seçildi",IF('1-Ders Havuzu'!H3="","",'1-Ders Havuzu'!H3),"")</f>
        <v/>
      </c>
      <c r="G7" s="33" t="str">
        <f aca="false">IF($A7="Seçildi",IF('2-Ders-Öğr.Elemanı Eşleştirme'!H3="","",'2-Ders-Öğr.Elemanı Eşleştirme'!H3),"")</f>
        <v/>
      </c>
      <c r="H7" s="35" t="n">
        <v>1</v>
      </c>
      <c r="I7" s="36"/>
      <c r="J7" s="36"/>
      <c r="K7" s="36"/>
      <c r="L7" s="36"/>
      <c r="M7" s="33" t="str">
        <f aca="false">IF($J7="","",MATCH($J7,{"08.00";"09.00";"10.00";"11.00";"12.00";"13.00";"14.00";"15.00";"16.00";"17.00"},0))</f>
        <v/>
      </c>
      <c r="N7" s="33" t="str">
        <f aca="false">IF(OR($M7="",$K7=""),"",$M7+$K7-1)</f>
        <v/>
      </c>
      <c r="O7" s="33" t="str">
        <f aca="false">IF($A7&lt;&gt;"Seçildi","",IF(OR($M7="",$N7=""),"",IF($N7&gt;10,"⚠ Saat Taşıyor","")))</f>
        <v/>
      </c>
      <c r="P7" s="33" t="str">
        <f aca="false">IF($A7&lt;&gt;"Seçildi","",IF(OR($G7="",$I7="",$M7=""),"",IF(SUMPRODUCT(($A$7:$A$456="Seçildi")*($G$7:$G$456=$G7)*($I$7:$I$456=$I7)*(ROW($A$7:$A$456)&lt;&gt;7)*($M$7:$M$456&lt;=$N7)*($N$7:$N$456&gt;=$M7))&gt;0,"⚠ Çakışma","OK")))</f>
        <v/>
      </c>
      <c r="Q7" s="33" t="str">
        <f aca="false">IF($A7&lt;&gt;"Seçildi","",IF(OR($L7="",$I7="",$M7=""),"",IF(SUMPRODUCT(($A$7:$A$456="Seçildi")*($L$7:$L$456=$L7)*($I$7:$I$456=$I7)*(ROW($A$7:$A$456)&lt;&gt;7)*($M$7:$M$456&lt;=$N7)*($N$7:$N$456&gt;=$M7))&gt;0,"⚠ Çakışma","OK")))</f>
        <v/>
      </c>
      <c r="R7" s="33" t="str">
        <f aca="false">IF($A7&lt;&gt;"Seçildi","",IF(OR($D7="",$I7="",$M7=""),"",IF(SUMPRODUCT(($A$7:$A$456="Seçildi")*($D$7:$D$456=$D7)*($I$7:$I$456=$I7)*(ROW($A$7:$A$456)&lt;&gt;7)*($M$7:$M$456&lt;=$N7)*($N$7:$N$456&gt;=$M7))&gt;0,"⚠ Çakışma","OK")))</f>
        <v/>
      </c>
      <c r="S7" s="33" t="str">
        <f aca="false">IF($A7&lt;&gt;"Seçildi","",IF(SUM($K7,$K8,$K9)&lt;&gt;$F7,"⚠ Dağılım: "&amp;SUM($K7:$K9)&amp;"/"&amp;$F7&amp;" saat","✓ Tamam"))</f>
        <v/>
      </c>
      <c r="T7" s="33" t="str">
        <f aca="false">IF($A7&lt;&gt;"Seçildi","",IF(OR($O7&lt;&gt;"",$P7="⚠ Çakışma",$Q7="⚠ Çakışma",$R7="⚠ Çakışma",LEFT($S7&amp;" ",1)="⚠"),"⚠ Kontrol Et","✓ Uygun"))</f>
        <v/>
      </c>
    </row>
    <row r="8" customFormat="false" ht="13.5" hidden="false" customHeight="true" outlineLevel="0" collapsed="false">
      <c r="A8" s="33" t="str">
        <f aca="false">'1-Ders Havuzu'!K3</f>
        <v>Seçilmedi</v>
      </c>
      <c r="B8" s="33" t="str">
        <f aca="false">IF($A8="Seçildi",IF('1-Ders Havuzu'!C3="","",'1-Ders Havuzu'!C3),"")</f>
        <v/>
      </c>
      <c r="C8" s="34" t="str">
        <f aca="false">IF($A8="Seçildi",IF('1-Ders Havuzu'!D3="","",'1-Ders Havuzu'!D3),"")</f>
        <v/>
      </c>
      <c r="D8" s="33" t="str">
        <f aca="false">IF($A8="Seçildi",IF('1-Ders Havuzu'!B3="","",'1-Ders Havuzu'!B3),"")</f>
        <v/>
      </c>
      <c r="E8" s="33" t="str">
        <f aca="false">IF($A8="Seçildi",IF('1-Ders Havuzu'!A3="","",'1-Ders Havuzu'!A3),"")</f>
        <v/>
      </c>
      <c r="F8" s="33" t="str">
        <f aca="false">IF($A8="Seçildi",IF('1-Ders Havuzu'!H3="","",'1-Ders Havuzu'!H3),"")</f>
        <v/>
      </c>
      <c r="G8" s="33" t="str">
        <f aca="false">IF($A8="Seçildi",IF('2-Ders-Öğr.Elemanı Eşleştirme'!H3="","",'2-Ders-Öğr.Elemanı Eşleştirme'!H3),"")</f>
        <v/>
      </c>
      <c r="H8" s="35" t="n">
        <v>2</v>
      </c>
      <c r="I8" s="36"/>
      <c r="J8" s="36"/>
      <c r="K8" s="36"/>
      <c r="L8" s="36"/>
      <c r="M8" s="33" t="str">
        <f aca="false">IF($J8="","",MATCH($J8,{"08.00";"09.00";"10.00";"11.00";"12.00";"13.00";"14.00";"15.00";"16.00";"17.00"},0))</f>
        <v/>
      </c>
      <c r="N8" s="33" t="str">
        <f aca="false">IF(OR($M8="",$K8=""),"",$M8+$K8-1)</f>
        <v/>
      </c>
      <c r="O8" s="33" t="str">
        <f aca="false">IF($A8&lt;&gt;"Seçildi","",IF(OR($M8="",$N8=""),"",IF($N8&gt;10,"⚠ Saat Taşıyor","")))</f>
        <v/>
      </c>
      <c r="P8" s="33" t="str">
        <f aca="false">IF($A8&lt;&gt;"Seçildi","",IF(OR($G8="",$I8="",$M8=""),"",IF(SUMPRODUCT(($A$7:$A$456="Seçildi")*($G$7:$G$456=$G8)*($I$7:$I$456=$I8)*(ROW($A$7:$A$456)&lt;&gt;8)*($M$7:$M$456&lt;=$N8)*($N$7:$N$456&gt;=$M8))&gt;0,"⚠ Çakışma","OK")))</f>
        <v/>
      </c>
      <c r="Q8" s="33" t="str">
        <f aca="false">IF($A8&lt;&gt;"Seçildi","",IF(OR($L8="",$I8="",$M8=""),"",IF(SUMPRODUCT(($A$7:$A$456="Seçildi")*($L$7:$L$456=$L8)*($I$7:$I$456=$I8)*(ROW($A$7:$A$456)&lt;&gt;8)*($M$7:$M$456&lt;=$N8)*($N$7:$N$456&gt;=$M8))&gt;0,"⚠ Çakışma","OK")))</f>
        <v/>
      </c>
      <c r="R8" s="33" t="str">
        <f aca="false">IF($A8&lt;&gt;"Seçildi","",IF(OR($D8="",$I8="",$M8=""),"",IF(SUMPRODUCT(($A$7:$A$456="Seçildi")*($D$7:$D$456=$D8)*($I$7:$I$456=$I8)*(ROW($A$7:$A$456)&lt;&gt;8)*($M$7:$M$456&lt;=$N8)*($N$7:$N$456&gt;=$M8))&gt;0,"⚠ Çakışma","OK")))</f>
        <v/>
      </c>
      <c r="S8" s="33"/>
      <c r="T8" s="33" t="str">
        <f aca="false">IF(OR($A8&lt;&gt;"Seçildi",AND($I8="",$J8="")),"",IF(OR($O8&lt;&gt;"",$P8="⚠ Çakışma",$Q8="⚠ Çakışma",$R8="⚠ Çakışma"),"⚠ Kontrol Et","✓ Uygun"))</f>
        <v/>
      </c>
    </row>
    <row r="9" customFormat="false" ht="13.5" hidden="false" customHeight="true" outlineLevel="0" collapsed="false">
      <c r="A9" s="33" t="str">
        <f aca="false">'1-Ders Havuzu'!K3</f>
        <v>Seçilmedi</v>
      </c>
      <c r="B9" s="33" t="str">
        <f aca="false">IF($A9="Seçildi",IF('1-Ders Havuzu'!C3="","",'1-Ders Havuzu'!C3),"")</f>
        <v/>
      </c>
      <c r="C9" s="34" t="str">
        <f aca="false">IF($A9="Seçildi",IF('1-Ders Havuzu'!D3="","",'1-Ders Havuzu'!D3),"")</f>
        <v/>
      </c>
      <c r="D9" s="33" t="str">
        <f aca="false">IF($A9="Seçildi",IF('1-Ders Havuzu'!B3="","",'1-Ders Havuzu'!B3),"")</f>
        <v/>
      </c>
      <c r="E9" s="33" t="str">
        <f aca="false">IF($A9="Seçildi",IF('1-Ders Havuzu'!A3="","",'1-Ders Havuzu'!A3),"")</f>
        <v/>
      </c>
      <c r="F9" s="33" t="str">
        <f aca="false">IF($A9="Seçildi",IF('1-Ders Havuzu'!H3="","",'1-Ders Havuzu'!H3),"")</f>
        <v/>
      </c>
      <c r="G9" s="33" t="str">
        <f aca="false">IF($A9="Seçildi",IF('2-Ders-Öğr.Elemanı Eşleştirme'!H3="","",'2-Ders-Öğr.Elemanı Eşleştirme'!H3),"")</f>
        <v/>
      </c>
      <c r="H9" s="35" t="n">
        <v>3</v>
      </c>
      <c r="I9" s="36"/>
      <c r="J9" s="36"/>
      <c r="K9" s="36"/>
      <c r="L9" s="36"/>
      <c r="M9" s="33" t="str">
        <f aca="false">IF($J9="","",MATCH($J9,{"08.00";"09.00";"10.00";"11.00";"12.00";"13.00";"14.00";"15.00";"16.00";"17.00"},0))</f>
        <v/>
      </c>
      <c r="N9" s="33" t="str">
        <f aca="false">IF(OR($M9="",$K9=""),"",$M9+$K9-1)</f>
        <v/>
      </c>
      <c r="O9" s="33" t="str">
        <f aca="false">IF($A9&lt;&gt;"Seçildi","",IF(OR($M9="",$N9=""),"",IF($N9&gt;10,"⚠ Saat Taşıyor","")))</f>
        <v/>
      </c>
      <c r="P9" s="33" t="str">
        <f aca="false">IF($A9&lt;&gt;"Seçildi","",IF(OR($G9="",$I9="",$M9=""),"",IF(SUMPRODUCT(($A$7:$A$456="Seçildi")*($G$7:$G$456=$G9)*($I$7:$I$456=$I9)*(ROW($A$7:$A$456)&lt;&gt;9)*($M$7:$M$456&lt;=$N9)*($N$7:$N$456&gt;=$M9))&gt;0,"⚠ Çakışma","OK")))</f>
        <v/>
      </c>
      <c r="Q9" s="33" t="str">
        <f aca="false">IF($A9&lt;&gt;"Seçildi","",IF(OR($L9="",$I9="",$M9=""),"",IF(SUMPRODUCT(($A$7:$A$456="Seçildi")*($L$7:$L$456=$L9)*($I$7:$I$456=$I9)*(ROW($A$7:$A$456)&lt;&gt;9)*($M$7:$M$456&lt;=$N9)*($N$7:$N$456&gt;=$M9))&gt;0,"⚠ Çakışma","OK")))</f>
        <v/>
      </c>
      <c r="R9" s="33" t="str">
        <f aca="false">IF($A9&lt;&gt;"Seçildi","",IF(OR($D9="",$I9="",$M9=""),"",IF(SUMPRODUCT(($A$7:$A$456="Seçildi")*($D$7:$D$456=$D9)*($I$7:$I$456=$I9)*(ROW($A$7:$A$456)&lt;&gt;9)*($M$7:$M$456&lt;=$N9)*($N$7:$N$456&gt;=$M9))&gt;0,"⚠ Çakışma","OK")))</f>
        <v/>
      </c>
      <c r="S9" s="33"/>
      <c r="T9" s="33" t="str">
        <f aca="false">IF(OR($A9&lt;&gt;"Seçildi",AND($I9="",$J9="")),"",IF(OR($O9&lt;&gt;"",$P9="⚠ Çakışma",$Q9="⚠ Çakışma",$R9="⚠ Çakışma"),"⚠ Kontrol Et","✓ Uygun"))</f>
        <v/>
      </c>
    </row>
    <row r="10" customFormat="false" ht="13.5" hidden="false" customHeight="true" outlineLevel="0" collapsed="false">
      <c r="A10" s="37" t="str">
        <f aca="false">'1-Ders Havuzu'!K4</f>
        <v>Seçilmedi</v>
      </c>
      <c r="B10" s="37" t="str">
        <f aca="false">IF($A10="Seçildi",IF('1-Ders Havuzu'!C4="","",'1-Ders Havuzu'!C4),"")</f>
        <v/>
      </c>
      <c r="C10" s="38" t="str">
        <f aca="false">IF($A10="Seçildi",IF('1-Ders Havuzu'!D4="","",'1-Ders Havuzu'!D4),"")</f>
        <v/>
      </c>
      <c r="D10" s="37" t="str">
        <f aca="false">IF($A10="Seçildi",IF('1-Ders Havuzu'!B4="","",'1-Ders Havuzu'!B4),"")</f>
        <v/>
      </c>
      <c r="E10" s="37" t="str">
        <f aca="false">IF($A10="Seçildi",IF('1-Ders Havuzu'!A4="","",'1-Ders Havuzu'!A4),"")</f>
        <v/>
      </c>
      <c r="F10" s="37" t="str">
        <f aca="false">IF($A10="Seçildi",IF('1-Ders Havuzu'!H4="","",'1-Ders Havuzu'!H4),"")</f>
        <v/>
      </c>
      <c r="G10" s="37" t="str">
        <f aca="false">IF($A10="Seçildi",IF('2-Ders-Öğr.Elemanı Eşleştirme'!H4="","",'2-Ders-Öğr.Elemanı Eşleştirme'!H4),"")</f>
        <v/>
      </c>
      <c r="H10" s="39" t="n">
        <v>1</v>
      </c>
      <c r="I10" s="36"/>
      <c r="J10" s="36"/>
      <c r="K10" s="36"/>
      <c r="L10" s="36"/>
      <c r="M10" s="37" t="str">
        <f aca="false">IF($J10="","",MATCH($J10,{"08.00";"09.00";"10.00";"11.00";"12.00";"13.00";"14.00";"15.00";"16.00";"17.00"},0))</f>
        <v/>
      </c>
      <c r="N10" s="37" t="str">
        <f aca="false">IF(OR($M10="",$K10=""),"",$M10+$K10-1)</f>
        <v/>
      </c>
      <c r="O10" s="37" t="str">
        <f aca="false">IF($A10&lt;&gt;"Seçildi","",IF(OR($M10="",$N10=""),"",IF($N10&gt;10,"⚠ Saat Taşıyor","")))</f>
        <v/>
      </c>
      <c r="P10" s="37" t="str">
        <f aca="false">IF($A10&lt;&gt;"Seçildi","",IF(OR($G10="",$I10="",$M10=""),"",IF(SUMPRODUCT(($A$7:$A$456="Seçildi")*($G$7:$G$456=$G10)*($I$7:$I$456=$I10)*(ROW($A$7:$A$456)&lt;&gt;10)*($M$7:$M$456&lt;=$N10)*($N$7:$N$456&gt;=$M10))&gt;0,"⚠ Çakışma","OK")))</f>
        <v/>
      </c>
      <c r="Q10" s="37" t="str">
        <f aca="false">IF($A10&lt;&gt;"Seçildi","",IF(OR($L10="",$I10="",$M10=""),"",IF(SUMPRODUCT(($A$7:$A$456="Seçildi")*($L$7:$L$456=$L10)*($I$7:$I$456=$I10)*(ROW($A$7:$A$456)&lt;&gt;10)*($M$7:$M$456&lt;=$N10)*($N$7:$N$456&gt;=$M10))&gt;0,"⚠ Çakışma","OK")))</f>
        <v/>
      </c>
      <c r="R10" s="37" t="str">
        <f aca="false">IF($A10&lt;&gt;"Seçildi","",IF(OR($D10="",$I10="",$M10=""),"",IF(SUMPRODUCT(($A$7:$A$456="Seçildi")*($D$7:$D$456=$D10)*($I$7:$I$456=$I10)*(ROW($A$7:$A$456)&lt;&gt;10)*($M$7:$M$456&lt;=$N10)*($N$7:$N$456&gt;=$M10))&gt;0,"⚠ Çakışma","OK")))</f>
        <v/>
      </c>
      <c r="S10" s="37" t="str">
        <f aca="false">IF($A10&lt;&gt;"Seçildi","",IF(SUM($K10,$K11,$K12)&lt;&gt;$F10,"⚠ Dağılım: "&amp;SUM($K10:$K12)&amp;"/"&amp;$F10&amp;" saat","✓ Tamam"))</f>
        <v/>
      </c>
      <c r="T10" s="37" t="str">
        <f aca="false">IF($A10&lt;&gt;"Seçildi","",IF(OR($O10&lt;&gt;"",$P10="⚠ Çakışma",$Q10="⚠ Çakışma",$R10="⚠ Çakışma",LEFT($S10&amp;" ",1)="⚠"),"⚠ Kontrol Et","✓ Uygun"))</f>
        <v/>
      </c>
    </row>
    <row r="11" customFormat="false" ht="13.5" hidden="false" customHeight="true" outlineLevel="0" collapsed="false">
      <c r="A11" s="37" t="str">
        <f aca="false">'1-Ders Havuzu'!K4</f>
        <v>Seçilmedi</v>
      </c>
      <c r="B11" s="37" t="str">
        <f aca="false">IF($A11="Seçildi",IF('1-Ders Havuzu'!C4="","",'1-Ders Havuzu'!C4),"")</f>
        <v/>
      </c>
      <c r="C11" s="38" t="str">
        <f aca="false">IF($A11="Seçildi",IF('1-Ders Havuzu'!D4="","",'1-Ders Havuzu'!D4),"")</f>
        <v/>
      </c>
      <c r="D11" s="37" t="str">
        <f aca="false">IF($A11="Seçildi",IF('1-Ders Havuzu'!B4="","",'1-Ders Havuzu'!B4),"")</f>
        <v/>
      </c>
      <c r="E11" s="37" t="str">
        <f aca="false">IF($A11="Seçildi",IF('1-Ders Havuzu'!A4="","",'1-Ders Havuzu'!A4),"")</f>
        <v/>
      </c>
      <c r="F11" s="37" t="str">
        <f aca="false">IF($A11="Seçildi",IF('1-Ders Havuzu'!H4="","",'1-Ders Havuzu'!H4),"")</f>
        <v/>
      </c>
      <c r="G11" s="37" t="str">
        <f aca="false">IF($A11="Seçildi",IF('2-Ders-Öğr.Elemanı Eşleştirme'!H4="","",'2-Ders-Öğr.Elemanı Eşleştirme'!H4),"")</f>
        <v/>
      </c>
      <c r="H11" s="39" t="n">
        <v>2</v>
      </c>
      <c r="I11" s="36"/>
      <c r="J11" s="36"/>
      <c r="K11" s="36"/>
      <c r="L11" s="36"/>
      <c r="M11" s="37" t="str">
        <f aca="false">IF($J11="","",MATCH($J11,{"08.00";"09.00";"10.00";"11.00";"12.00";"13.00";"14.00";"15.00";"16.00";"17.00"},0))</f>
        <v/>
      </c>
      <c r="N11" s="37" t="str">
        <f aca="false">IF(OR($M11="",$K11=""),"",$M11+$K11-1)</f>
        <v/>
      </c>
      <c r="O11" s="37" t="str">
        <f aca="false">IF($A11&lt;&gt;"Seçildi","",IF(OR($M11="",$N11=""),"",IF($N11&gt;10,"⚠ Saat Taşıyor","")))</f>
        <v/>
      </c>
      <c r="P11" s="37" t="str">
        <f aca="false">IF($A11&lt;&gt;"Seçildi","",IF(OR($G11="",$I11="",$M11=""),"",IF(SUMPRODUCT(($A$7:$A$456="Seçildi")*($G$7:$G$456=$G11)*($I$7:$I$456=$I11)*(ROW($A$7:$A$456)&lt;&gt;11)*($M$7:$M$456&lt;=$N11)*($N$7:$N$456&gt;=$M11))&gt;0,"⚠ Çakışma","OK")))</f>
        <v/>
      </c>
      <c r="Q11" s="37" t="str">
        <f aca="false">IF($A11&lt;&gt;"Seçildi","",IF(OR($L11="",$I11="",$M11=""),"",IF(SUMPRODUCT(($A$7:$A$456="Seçildi")*($L$7:$L$456=$L11)*($I$7:$I$456=$I11)*(ROW($A$7:$A$456)&lt;&gt;11)*($M$7:$M$456&lt;=$N11)*($N$7:$N$456&gt;=$M11))&gt;0,"⚠ Çakışma","OK")))</f>
        <v/>
      </c>
      <c r="R11" s="37" t="str">
        <f aca="false">IF($A11&lt;&gt;"Seçildi","",IF(OR($D11="",$I11="",$M11=""),"",IF(SUMPRODUCT(($A$7:$A$456="Seçildi")*($D$7:$D$456=$D11)*($I$7:$I$456=$I11)*(ROW($A$7:$A$456)&lt;&gt;11)*($M$7:$M$456&lt;=$N11)*($N$7:$N$456&gt;=$M11))&gt;0,"⚠ Çakışma","OK")))</f>
        <v/>
      </c>
      <c r="S11" s="37"/>
      <c r="T11" s="37" t="str">
        <f aca="false">IF(OR($A11&lt;&gt;"Seçildi",AND($I11="",$J11="")),"",IF(OR($O11&lt;&gt;"",$P11="⚠ Çakışma",$Q11="⚠ Çakışma",$R11="⚠ Çakışma"),"⚠ Kontrol Et","✓ Uygun"))</f>
        <v/>
      </c>
    </row>
    <row r="12" customFormat="false" ht="13.5" hidden="false" customHeight="true" outlineLevel="0" collapsed="false">
      <c r="A12" s="37" t="str">
        <f aca="false">'1-Ders Havuzu'!K4</f>
        <v>Seçilmedi</v>
      </c>
      <c r="B12" s="37" t="str">
        <f aca="false">IF($A12="Seçildi",IF('1-Ders Havuzu'!C4="","",'1-Ders Havuzu'!C4),"")</f>
        <v/>
      </c>
      <c r="C12" s="38" t="str">
        <f aca="false">IF($A12="Seçildi",IF('1-Ders Havuzu'!D4="","",'1-Ders Havuzu'!D4),"")</f>
        <v/>
      </c>
      <c r="D12" s="37" t="str">
        <f aca="false">IF($A12="Seçildi",IF('1-Ders Havuzu'!B4="","",'1-Ders Havuzu'!B4),"")</f>
        <v/>
      </c>
      <c r="E12" s="37" t="str">
        <f aca="false">IF($A12="Seçildi",IF('1-Ders Havuzu'!A4="","",'1-Ders Havuzu'!A4),"")</f>
        <v/>
      </c>
      <c r="F12" s="37" t="str">
        <f aca="false">IF($A12="Seçildi",IF('1-Ders Havuzu'!H4="","",'1-Ders Havuzu'!H4),"")</f>
        <v/>
      </c>
      <c r="G12" s="37" t="str">
        <f aca="false">IF($A12="Seçildi",IF('2-Ders-Öğr.Elemanı Eşleştirme'!H4="","",'2-Ders-Öğr.Elemanı Eşleştirme'!H4),"")</f>
        <v/>
      </c>
      <c r="H12" s="39" t="n">
        <v>3</v>
      </c>
      <c r="I12" s="36"/>
      <c r="J12" s="36"/>
      <c r="K12" s="36"/>
      <c r="L12" s="36"/>
      <c r="M12" s="37" t="str">
        <f aca="false">IF($J12="","",MATCH($J12,{"08.00";"09.00";"10.00";"11.00";"12.00";"13.00";"14.00";"15.00";"16.00";"17.00"},0))</f>
        <v/>
      </c>
      <c r="N12" s="37" t="str">
        <f aca="false">IF(OR($M12="",$K12=""),"",$M12+$K12-1)</f>
        <v/>
      </c>
      <c r="O12" s="37" t="str">
        <f aca="false">IF($A12&lt;&gt;"Seçildi","",IF(OR($M12="",$N12=""),"",IF($N12&gt;10,"⚠ Saat Taşıyor","")))</f>
        <v/>
      </c>
      <c r="P12" s="37" t="str">
        <f aca="false">IF($A12&lt;&gt;"Seçildi","",IF(OR($G12="",$I12="",$M12=""),"",IF(SUMPRODUCT(($A$7:$A$456="Seçildi")*($G$7:$G$456=$G12)*($I$7:$I$456=$I12)*(ROW($A$7:$A$456)&lt;&gt;12)*($M$7:$M$456&lt;=$N12)*($N$7:$N$456&gt;=$M12))&gt;0,"⚠ Çakışma","OK")))</f>
        <v/>
      </c>
      <c r="Q12" s="37" t="str">
        <f aca="false">IF($A12&lt;&gt;"Seçildi","",IF(OR($L12="",$I12="",$M12=""),"",IF(SUMPRODUCT(($A$7:$A$456="Seçildi")*($L$7:$L$456=$L12)*($I$7:$I$456=$I12)*(ROW($A$7:$A$456)&lt;&gt;12)*($M$7:$M$456&lt;=$N12)*($N$7:$N$456&gt;=$M12))&gt;0,"⚠ Çakışma","OK")))</f>
        <v/>
      </c>
      <c r="R12" s="37" t="str">
        <f aca="false">IF($A12&lt;&gt;"Seçildi","",IF(OR($D12="",$I12="",$M12=""),"",IF(SUMPRODUCT(($A$7:$A$456="Seçildi")*($D$7:$D$456=$D12)*($I$7:$I$456=$I12)*(ROW($A$7:$A$456)&lt;&gt;12)*($M$7:$M$456&lt;=$N12)*($N$7:$N$456&gt;=$M12))&gt;0,"⚠ Çakışma","OK")))</f>
        <v/>
      </c>
      <c r="S12" s="37"/>
      <c r="T12" s="37" t="str">
        <f aca="false">IF(OR($A12&lt;&gt;"Seçildi",AND($I12="",$J12="")),"",IF(OR($O12&lt;&gt;"",$P12="⚠ Çakışma",$Q12="⚠ Çakışma",$R12="⚠ Çakışma"),"⚠ Kontrol Et","✓ Uygun"))</f>
        <v/>
      </c>
    </row>
    <row r="13" customFormat="false" ht="13.5" hidden="false" customHeight="true" outlineLevel="0" collapsed="false">
      <c r="A13" s="33" t="str">
        <f aca="false">'1-Ders Havuzu'!K5</f>
        <v>Seçilmedi</v>
      </c>
      <c r="B13" s="33" t="str">
        <f aca="false">IF($A13="Seçildi",IF('1-Ders Havuzu'!C5="","",'1-Ders Havuzu'!C5),"")</f>
        <v/>
      </c>
      <c r="C13" s="34" t="str">
        <f aca="false">IF($A13="Seçildi",IF('1-Ders Havuzu'!D5="","",'1-Ders Havuzu'!D5),"")</f>
        <v/>
      </c>
      <c r="D13" s="33" t="str">
        <f aca="false">IF($A13="Seçildi",IF('1-Ders Havuzu'!B5="","",'1-Ders Havuzu'!B5),"")</f>
        <v/>
      </c>
      <c r="E13" s="33" t="str">
        <f aca="false">IF($A13="Seçildi",IF('1-Ders Havuzu'!A5="","",'1-Ders Havuzu'!A5),"")</f>
        <v/>
      </c>
      <c r="F13" s="33" t="str">
        <f aca="false">IF($A13="Seçildi",IF('1-Ders Havuzu'!H5="","",'1-Ders Havuzu'!H5),"")</f>
        <v/>
      </c>
      <c r="G13" s="33" t="str">
        <f aca="false">IF($A13="Seçildi",IF('2-Ders-Öğr.Elemanı Eşleştirme'!H5="","",'2-Ders-Öğr.Elemanı Eşleştirme'!H5),"")</f>
        <v/>
      </c>
      <c r="H13" s="35" t="n">
        <v>1</v>
      </c>
      <c r="I13" s="36"/>
      <c r="J13" s="36"/>
      <c r="K13" s="36"/>
      <c r="L13" s="36"/>
      <c r="M13" s="33" t="str">
        <f aca="false">IF($J13="","",MATCH($J13,{"08.00";"09.00";"10.00";"11.00";"12.00";"13.00";"14.00";"15.00";"16.00";"17.00"},0))</f>
        <v/>
      </c>
      <c r="N13" s="33" t="str">
        <f aca="false">IF(OR($M13="",$K13=""),"",$M13+$K13-1)</f>
        <v/>
      </c>
      <c r="O13" s="33" t="str">
        <f aca="false">IF($A13&lt;&gt;"Seçildi","",IF(OR($M13="",$N13=""),"",IF($N13&gt;10,"⚠ Saat Taşıyor","")))</f>
        <v/>
      </c>
      <c r="P13" s="33" t="str">
        <f aca="false">IF($A13&lt;&gt;"Seçildi","",IF(OR($G13="",$I13="",$M13=""),"",IF(SUMPRODUCT(($A$7:$A$456="Seçildi")*($G$7:$G$456=$G13)*($I$7:$I$456=$I13)*(ROW($A$7:$A$456)&lt;&gt;13)*($M$7:$M$456&lt;=$N13)*($N$7:$N$456&gt;=$M13))&gt;0,"⚠ Çakışma","OK")))</f>
        <v/>
      </c>
      <c r="Q13" s="33" t="str">
        <f aca="false">IF($A13&lt;&gt;"Seçildi","",IF(OR($L13="",$I13="",$M13=""),"",IF(SUMPRODUCT(($A$7:$A$456="Seçildi")*($L$7:$L$456=$L13)*($I$7:$I$456=$I13)*(ROW($A$7:$A$456)&lt;&gt;13)*($M$7:$M$456&lt;=$N13)*($N$7:$N$456&gt;=$M13))&gt;0,"⚠ Çakışma","OK")))</f>
        <v/>
      </c>
      <c r="R13" s="33" t="str">
        <f aca="false">IF($A13&lt;&gt;"Seçildi","",IF(OR($D13="",$I13="",$M13=""),"",IF(SUMPRODUCT(($A$7:$A$456="Seçildi")*($D$7:$D$456=$D13)*($I$7:$I$456=$I13)*(ROW($A$7:$A$456)&lt;&gt;13)*($M$7:$M$456&lt;=$N13)*($N$7:$N$456&gt;=$M13))&gt;0,"⚠ Çakışma","OK")))</f>
        <v/>
      </c>
      <c r="S13" s="33" t="str">
        <f aca="false">IF($A13&lt;&gt;"Seçildi","",IF(SUM($K13,$K14,$K15)&lt;&gt;$F13,"⚠ Dağılım: "&amp;SUM($K13:$K15)&amp;"/"&amp;$F13&amp;" saat","✓ Tamam"))</f>
        <v/>
      </c>
      <c r="T13" s="33" t="str">
        <f aca="false">IF($A13&lt;&gt;"Seçildi","",IF(OR($O13&lt;&gt;"",$P13="⚠ Çakışma",$Q13="⚠ Çakışma",$R13="⚠ Çakışma",LEFT($S13&amp;" ",1)="⚠"),"⚠ Kontrol Et","✓ Uygun"))</f>
        <v/>
      </c>
    </row>
    <row r="14" customFormat="false" ht="13.5" hidden="false" customHeight="true" outlineLevel="0" collapsed="false">
      <c r="A14" s="33" t="str">
        <f aca="false">'1-Ders Havuzu'!K5</f>
        <v>Seçilmedi</v>
      </c>
      <c r="B14" s="33" t="str">
        <f aca="false">IF($A14="Seçildi",IF('1-Ders Havuzu'!C5="","",'1-Ders Havuzu'!C5),"")</f>
        <v/>
      </c>
      <c r="C14" s="34" t="str">
        <f aca="false">IF($A14="Seçildi",IF('1-Ders Havuzu'!D5="","",'1-Ders Havuzu'!D5),"")</f>
        <v/>
      </c>
      <c r="D14" s="33" t="str">
        <f aca="false">IF($A14="Seçildi",IF('1-Ders Havuzu'!B5="","",'1-Ders Havuzu'!B5),"")</f>
        <v/>
      </c>
      <c r="E14" s="33" t="str">
        <f aca="false">IF($A14="Seçildi",IF('1-Ders Havuzu'!A5="","",'1-Ders Havuzu'!A5),"")</f>
        <v/>
      </c>
      <c r="F14" s="33" t="str">
        <f aca="false">IF($A14="Seçildi",IF('1-Ders Havuzu'!H5="","",'1-Ders Havuzu'!H5),"")</f>
        <v/>
      </c>
      <c r="G14" s="33" t="str">
        <f aca="false">IF($A14="Seçildi",IF('2-Ders-Öğr.Elemanı Eşleştirme'!H5="","",'2-Ders-Öğr.Elemanı Eşleştirme'!H5),"")</f>
        <v/>
      </c>
      <c r="H14" s="35" t="n">
        <v>2</v>
      </c>
      <c r="I14" s="36"/>
      <c r="J14" s="36"/>
      <c r="K14" s="36"/>
      <c r="L14" s="36"/>
      <c r="M14" s="33" t="str">
        <f aca="false">IF($J14="","",MATCH($J14,{"08.00";"09.00";"10.00";"11.00";"12.00";"13.00";"14.00";"15.00";"16.00";"17.00"},0))</f>
        <v/>
      </c>
      <c r="N14" s="33" t="str">
        <f aca="false">IF(OR($M14="",$K14=""),"",$M14+$K14-1)</f>
        <v/>
      </c>
      <c r="O14" s="33" t="str">
        <f aca="false">IF($A14&lt;&gt;"Seçildi","",IF(OR($M14="",$N14=""),"",IF($N14&gt;10,"⚠ Saat Taşıyor","")))</f>
        <v/>
      </c>
      <c r="P14" s="33" t="str">
        <f aca="false">IF($A14&lt;&gt;"Seçildi","",IF(OR($G14="",$I14="",$M14=""),"",IF(SUMPRODUCT(($A$7:$A$456="Seçildi")*($G$7:$G$456=$G14)*($I$7:$I$456=$I14)*(ROW($A$7:$A$456)&lt;&gt;14)*($M$7:$M$456&lt;=$N14)*($N$7:$N$456&gt;=$M14))&gt;0,"⚠ Çakışma","OK")))</f>
        <v/>
      </c>
      <c r="Q14" s="33" t="str">
        <f aca="false">IF($A14&lt;&gt;"Seçildi","",IF(OR($L14="",$I14="",$M14=""),"",IF(SUMPRODUCT(($A$7:$A$456="Seçildi")*($L$7:$L$456=$L14)*($I$7:$I$456=$I14)*(ROW($A$7:$A$456)&lt;&gt;14)*($M$7:$M$456&lt;=$N14)*($N$7:$N$456&gt;=$M14))&gt;0,"⚠ Çakışma","OK")))</f>
        <v/>
      </c>
      <c r="R14" s="33" t="str">
        <f aca="false">IF($A14&lt;&gt;"Seçildi","",IF(OR($D14="",$I14="",$M14=""),"",IF(SUMPRODUCT(($A$7:$A$456="Seçildi")*($D$7:$D$456=$D14)*($I$7:$I$456=$I14)*(ROW($A$7:$A$456)&lt;&gt;14)*($M$7:$M$456&lt;=$N14)*($N$7:$N$456&gt;=$M14))&gt;0,"⚠ Çakışma","OK")))</f>
        <v/>
      </c>
      <c r="S14" s="33"/>
      <c r="T14" s="33" t="str">
        <f aca="false">IF(OR($A14&lt;&gt;"Seçildi",AND($I14="",$J14="")),"",IF(OR($O14&lt;&gt;"",$P14="⚠ Çakışma",$Q14="⚠ Çakışma",$R14="⚠ Çakışma"),"⚠ Kontrol Et","✓ Uygun"))</f>
        <v/>
      </c>
    </row>
    <row r="15" customFormat="false" ht="13.5" hidden="false" customHeight="true" outlineLevel="0" collapsed="false">
      <c r="A15" s="33" t="str">
        <f aca="false">'1-Ders Havuzu'!K5</f>
        <v>Seçilmedi</v>
      </c>
      <c r="B15" s="33" t="str">
        <f aca="false">IF($A15="Seçildi",IF('1-Ders Havuzu'!C5="","",'1-Ders Havuzu'!C5),"")</f>
        <v/>
      </c>
      <c r="C15" s="34" t="str">
        <f aca="false">IF($A15="Seçildi",IF('1-Ders Havuzu'!D5="","",'1-Ders Havuzu'!D5),"")</f>
        <v/>
      </c>
      <c r="D15" s="33" t="str">
        <f aca="false">IF($A15="Seçildi",IF('1-Ders Havuzu'!B5="","",'1-Ders Havuzu'!B5),"")</f>
        <v/>
      </c>
      <c r="E15" s="33" t="str">
        <f aca="false">IF($A15="Seçildi",IF('1-Ders Havuzu'!A5="","",'1-Ders Havuzu'!A5),"")</f>
        <v/>
      </c>
      <c r="F15" s="33" t="str">
        <f aca="false">IF($A15="Seçildi",IF('1-Ders Havuzu'!H5="","",'1-Ders Havuzu'!H5),"")</f>
        <v/>
      </c>
      <c r="G15" s="33" t="str">
        <f aca="false">IF($A15="Seçildi",IF('2-Ders-Öğr.Elemanı Eşleştirme'!H5="","",'2-Ders-Öğr.Elemanı Eşleştirme'!H5),"")</f>
        <v/>
      </c>
      <c r="H15" s="35" t="n">
        <v>3</v>
      </c>
      <c r="I15" s="36"/>
      <c r="J15" s="36"/>
      <c r="K15" s="36"/>
      <c r="L15" s="36"/>
      <c r="M15" s="33" t="str">
        <f aca="false">IF($J15="","",MATCH($J15,{"08.00";"09.00";"10.00";"11.00";"12.00";"13.00";"14.00";"15.00";"16.00";"17.00"},0))</f>
        <v/>
      </c>
      <c r="N15" s="33" t="str">
        <f aca="false">IF(OR($M15="",$K15=""),"",$M15+$K15-1)</f>
        <v/>
      </c>
      <c r="O15" s="33" t="str">
        <f aca="false">IF($A15&lt;&gt;"Seçildi","",IF(OR($M15="",$N15=""),"",IF($N15&gt;10,"⚠ Saat Taşıyor","")))</f>
        <v/>
      </c>
      <c r="P15" s="33" t="str">
        <f aca="false">IF($A15&lt;&gt;"Seçildi","",IF(OR($G15="",$I15="",$M15=""),"",IF(SUMPRODUCT(($A$7:$A$456="Seçildi")*($G$7:$G$456=$G15)*($I$7:$I$456=$I15)*(ROW($A$7:$A$456)&lt;&gt;15)*($M$7:$M$456&lt;=$N15)*($N$7:$N$456&gt;=$M15))&gt;0,"⚠ Çakışma","OK")))</f>
        <v/>
      </c>
      <c r="Q15" s="33" t="str">
        <f aca="false">IF($A15&lt;&gt;"Seçildi","",IF(OR($L15="",$I15="",$M15=""),"",IF(SUMPRODUCT(($A$7:$A$456="Seçildi")*($L$7:$L$456=$L15)*($I$7:$I$456=$I15)*(ROW($A$7:$A$456)&lt;&gt;15)*($M$7:$M$456&lt;=$N15)*($N$7:$N$456&gt;=$M15))&gt;0,"⚠ Çakışma","OK")))</f>
        <v/>
      </c>
      <c r="R15" s="33" t="str">
        <f aca="false">IF($A15&lt;&gt;"Seçildi","",IF(OR($D15="",$I15="",$M15=""),"",IF(SUMPRODUCT(($A$7:$A$456="Seçildi")*($D$7:$D$456=$D15)*($I$7:$I$456=$I15)*(ROW($A$7:$A$456)&lt;&gt;15)*($M$7:$M$456&lt;=$N15)*($N$7:$N$456&gt;=$M15))&gt;0,"⚠ Çakışma","OK")))</f>
        <v/>
      </c>
      <c r="S15" s="33"/>
      <c r="T15" s="33" t="str">
        <f aca="false">IF(OR($A15&lt;&gt;"Seçildi",AND($I15="",$J15="")),"",IF(OR($O15&lt;&gt;"",$P15="⚠ Çakışma",$Q15="⚠ Çakışma",$R15="⚠ Çakışma"),"⚠ Kontrol Et","✓ Uygun"))</f>
        <v/>
      </c>
    </row>
    <row r="16" customFormat="false" ht="13.5" hidden="false" customHeight="true" outlineLevel="0" collapsed="false">
      <c r="A16" s="37" t="str">
        <f aca="false">'1-Ders Havuzu'!K6</f>
        <v>Seçilmedi</v>
      </c>
      <c r="B16" s="37" t="str">
        <f aca="false">IF($A16="Seçildi",IF('1-Ders Havuzu'!C6="","",'1-Ders Havuzu'!C6),"")</f>
        <v/>
      </c>
      <c r="C16" s="38" t="str">
        <f aca="false">IF($A16="Seçildi",IF('1-Ders Havuzu'!D6="","",'1-Ders Havuzu'!D6),"")</f>
        <v/>
      </c>
      <c r="D16" s="37" t="str">
        <f aca="false">IF($A16="Seçildi",IF('1-Ders Havuzu'!B6="","",'1-Ders Havuzu'!B6),"")</f>
        <v/>
      </c>
      <c r="E16" s="37" t="str">
        <f aca="false">IF($A16="Seçildi",IF('1-Ders Havuzu'!A6="","",'1-Ders Havuzu'!A6),"")</f>
        <v/>
      </c>
      <c r="F16" s="37" t="str">
        <f aca="false">IF($A16="Seçildi",IF('1-Ders Havuzu'!H6="","",'1-Ders Havuzu'!H6),"")</f>
        <v/>
      </c>
      <c r="G16" s="37" t="str">
        <f aca="false">IF($A16="Seçildi",IF('2-Ders-Öğr.Elemanı Eşleştirme'!H6="","",'2-Ders-Öğr.Elemanı Eşleştirme'!H6),"")</f>
        <v/>
      </c>
      <c r="H16" s="39" t="n">
        <v>1</v>
      </c>
      <c r="I16" s="36"/>
      <c r="J16" s="36"/>
      <c r="K16" s="36"/>
      <c r="L16" s="36"/>
      <c r="M16" s="37" t="str">
        <f aca="false">IF($J16="","",MATCH($J16,{"08.00";"09.00";"10.00";"11.00";"12.00";"13.00";"14.00";"15.00";"16.00";"17.00"},0))</f>
        <v/>
      </c>
      <c r="N16" s="37" t="str">
        <f aca="false">IF(OR($M16="",$K16=""),"",$M16+$K16-1)</f>
        <v/>
      </c>
      <c r="O16" s="37" t="str">
        <f aca="false">IF($A16&lt;&gt;"Seçildi","",IF(OR($M16="",$N16=""),"",IF($N16&gt;10,"⚠ Saat Taşıyor","")))</f>
        <v/>
      </c>
      <c r="P16" s="37" t="str">
        <f aca="false">IF($A16&lt;&gt;"Seçildi","",IF(OR($G16="",$I16="",$M16=""),"",IF(SUMPRODUCT(($A$7:$A$456="Seçildi")*($G$7:$G$456=$G16)*($I$7:$I$456=$I16)*(ROW($A$7:$A$456)&lt;&gt;16)*($M$7:$M$456&lt;=$N16)*($N$7:$N$456&gt;=$M16))&gt;0,"⚠ Çakışma","OK")))</f>
        <v/>
      </c>
      <c r="Q16" s="37" t="str">
        <f aca="false">IF($A16&lt;&gt;"Seçildi","",IF(OR($L16="",$I16="",$M16=""),"",IF(SUMPRODUCT(($A$7:$A$456="Seçildi")*($L$7:$L$456=$L16)*($I$7:$I$456=$I16)*(ROW($A$7:$A$456)&lt;&gt;16)*($M$7:$M$456&lt;=$N16)*($N$7:$N$456&gt;=$M16))&gt;0,"⚠ Çakışma","OK")))</f>
        <v/>
      </c>
      <c r="R16" s="37" t="str">
        <f aca="false">IF($A16&lt;&gt;"Seçildi","",IF(OR($D16="",$I16="",$M16=""),"",IF(SUMPRODUCT(($A$7:$A$456="Seçildi")*($D$7:$D$456=$D16)*($I$7:$I$456=$I16)*(ROW($A$7:$A$456)&lt;&gt;16)*($M$7:$M$456&lt;=$N16)*($N$7:$N$456&gt;=$M16))&gt;0,"⚠ Çakışma","OK")))</f>
        <v/>
      </c>
      <c r="S16" s="37" t="str">
        <f aca="false">IF($A16&lt;&gt;"Seçildi","",IF(SUM($K16,$K17,$K18)&lt;&gt;$F16,"⚠ Dağılım: "&amp;SUM($K16:$K18)&amp;"/"&amp;$F16&amp;" saat","✓ Tamam"))</f>
        <v/>
      </c>
      <c r="T16" s="37" t="str">
        <f aca="false">IF($A16&lt;&gt;"Seçildi","",IF(OR($O16&lt;&gt;"",$P16="⚠ Çakışma",$Q16="⚠ Çakışma",$R16="⚠ Çakışma",LEFT($S16&amp;" ",1)="⚠"),"⚠ Kontrol Et","✓ Uygun"))</f>
        <v/>
      </c>
    </row>
    <row r="17" customFormat="false" ht="13.5" hidden="false" customHeight="true" outlineLevel="0" collapsed="false">
      <c r="A17" s="37" t="str">
        <f aca="false">'1-Ders Havuzu'!K6</f>
        <v>Seçilmedi</v>
      </c>
      <c r="B17" s="37" t="str">
        <f aca="false">IF($A17="Seçildi",IF('1-Ders Havuzu'!C6="","",'1-Ders Havuzu'!C6),"")</f>
        <v/>
      </c>
      <c r="C17" s="38" t="str">
        <f aca="false">IF($A17="Seçildi",IF('1-Ders Havuzu'!D6="","",'1-Ders Havuzu'!D6),"")</f>
        <v/>
      </c>
      <c r="D17" s="37" t="str">
        <f aca="false">IF($A17="Seçildi",IF('1-Ders Havuzu'!B6="","",'1-Ders Havuzu'!B6),"")</f>
        <v/>
      </c>
      <c r="E17" s="37" t="str">
        <f aca="false">IF($A17="Seçildi",IF('1-Ders Havuzu'!A6="","",'1-Ders Havuzu'!A6),"")</f>
        <v/>
      </c>
      <c r="F17" s="37" t="str">
        <f aca="false">IF($A17="Seçildi",IF('1-Ders Havuzu'!H6="","",'1-Ders Havuzu'!H6),"")</f>
        <v/>
      </c>
      <c r="G17" s="37" t="str">
        <f aca="false">IF($A17="Seçildi",IF('2-Ders-Öğr.Elemanı Eşleştirme'!H6="","",'2-Ders-Öğr.Elemanı Eşleştirme'!H6),"")</f>
        <v/>
      </c>
      <c r="H17" s="39" t="n">
        <v>2</v>
      </c>
      <c r="I17" s="36"/>
      <c r="J17" s="36"/>
      <c r="K17" s="36"/>
      <c r="L17" s="36"/>
      <c r="M17" s="37" t="str">
        <f aca="false">IF($J17="","",MATCH($J17,{"08.00";"09.00";"10.00";"11.00";"12.00";"13.00";"14.00";"15.00";"16.00";"17.00"},0))</f>
        <v/>
      </c>
      <c r="N17" s="37" t="str">
        <f aca="false">IF(OR($M17="",$K17=""),"",$M17+$K17-1)</f>
        <v/>
      </c>
      <c r="O17" s="37" t="str">
        <f aca="false">IF($A17&lt;&gt;"Seçildi","",IF(OR($M17="",$N17=""),"",IF($N17&gt;10,"⚠ Saat Taşıyor","")))</f>
        <v/>
      </c>
      <c r="P17" s="37" t="str">
        <f aca="false">IF($A17&lt;&gt;"Seçildi","",IF(OR($G17="",$I17="",$M17=""),"",IF(SUMPRODUCT(($A$7:$A$456="Seçildi")*($G$7:$G$456=$G17)*($I$7:$I$456=$I17)*(ROW($A$7:$A$456)&lt;&gt;17)*($M$7:$M$456&lt;=$N17)*($N$7:$N$456&gt;=$M17))&gt;0,"⚠ Çakışma","OK")))</f>
        <v/>
      </c>
      <c r="Q17" s="37" t="str">
        <f aca="false">IF($A17&lt;&gt;"Seçildi","",IF(OR($L17="",$I17="",$M17=""),"",IF(SUMPRODUCT(($A$7:$A$456="Seçildi")*($L$7:$L$456=$L17)*($I$7:$I$456=$I17)*(ROW($A$7:$A$456)&lt;&gt;17)*($M$7:$M$456&lt;=$N17)*($N$7:$N$456&gt;=$M17))&gt;0,"⚠ Çakışma","OK")))</f>
        <v/>
      </c>
      <c r="R17" s="37" t="str">
        <f aca="false">IF($A17&lt;&gt;"Seçildi","",IF(OR($D17="",$I17="",$M17=""),"",IF(SUMPRODUCT(($A$7:$A$456="Seçildi")*($D$7:$D$456=$D17)*($I$7:$I$456=$I17)*(ROW($A$7:$A$456)&lt;&gt;17)*($M$7:$M$456&lt;=$N17)*($N$7:$N$456&gt;=$M17))&gt;0,"⚠ Çakışma","OK")))</f>
        <v/>
      </c>
      <c r="S17" s="37"/>
      <c r="T17" s="37" t="str">
        <f aca="false">IF(OR($A17&lt;&gt;"Seçildi",AND($I17="",$J17="")),"",IF(OR($O17&lt;&gt;"",$P17="⚠ Çakışma",$Q17="⚠ Çakışma",$R17="⚠ Çakışma"),"⚠ Kontrol Et","✓ Uygun"))</f>
        <v/>
      </c>
    </row>
    <row r="18" customFormat="false" ht="13.5" hidden="false" customHeight="true" outlineLevel="0" collapsed="false">
      <c r="A18" s="37" t="str">
        <f aca="false">'1-Ders Havuzu'!K6</f>
        <v>Seçilmedi</v>
      </c>
      <c r="B18" s="37" t="str">
        <f aca="false">IF($A18="Seçildi",IF('1-Ders Havuzu'!C6="","",'1-Ders Havuzu'!C6),"")</f>
        <v/>
      </c>
      <c r="C18" s="38" t="str">
        <f aca="false">IF($A18="Seçildi",IF('1-Ders Havuzu'!D6="","",'1-Ders Havuzu'!D6),"")</f>
        <v/>
      </c>
      <c r="D18" s="37" t="str">
        <f aca="false">IF($A18="Seçildi",IF('1-Ders Havuzu'!B6="","",'1-Ders Havuzu'!B6),"")</f>
        <v/>
      </c>
      <c r="E18" s="37" t="str">
        <f aca="false">IF($A18="Seçildi",IF('1-Ders Havuzu'!A6="","",'1-Ders Havuzu'!A6),"")</f>
        <v/>
      </c>
      <c r="F18" s="37" t="str">
        <f aca="false">IF($A18="Seçildi",IF('1-Ders Havuzu'!H6="","",'1-Ders Havuzu'!H6),"")</f>
        <v/>
      </c>
      <c r="G18" s="37" t="str">
        <f aca="false">IF($A18="Seçildi",IF('2-Ders-Öğr.Elemanı Eşleştirme'!H6="","",'2-Ders-Öğr.Elemanı Eşleştirme'!H6),"")</f>
        <v/>
      </c>
      <c r="H18" s="39" t="n">
        <v>3</v>
      </c>
      <c r="I18" s="36"/>
      <c r="J18" s="36"/>
      <c r="K18" s="36"/>
      <c r="L18" s="36"/>
      <c r="M18" s="37" t="str">
        <f aca="false">IF($J18="","",MATCH($J18,{"08.00";"09.00";"10.00";"11.00";"12.00";"13.00";"14.00";"15.00";"16.00";"17.00"},0))</f>
        <v/>
      </c>
      <c r="N18" s="37" t="str">
        <f aca="false">IF(OR($M18="",$K18=""),"",$M18+$K18-1)</f>
        <v/>
      </c>
      <c r="O18" s="37" t="str">
        <f aca="false">IF($A18&lt;&gt;"Seçildi","",IF(OR($M18="",$N18=""),"",IF($N18&gt;10,"⚠ Saat Taşıyor","")))</f>
        <v/>
      </c>
      <c r="P18" s="37" t="str">
        <f aca="false">IF($A18&lt;&gt;"Seçildi","",IF(OR($G18="",$I18="",$M18=""),"",IF(SUMPRODUCT(($A$7:$A$456="Seçildi")*($G$7:$G$456=$G18)*($I$7:$I$456=$I18)*(ROW($A$7:$A$456)&lt;&gt;18)*($M$7:$M$456&lt;=$N18)*($N$7:$N$456&gt;=$M18))&gt;0,"⚠ Çakışma","OK")))</f>
        <v/>
      </c>
      <c r="Q18" s="37" t="str">
        <f aca="false">IF($A18&lt;&gt;"Seçildi","",IF(OR($L18="",$I18="",$M18=""),"",IF(SUMPRODUCT(($A$7:$A$456="Seçildi")*($L$7:$L$456=$L18)*($I$7:$I$456=$I18)*(ROW($A$7:$A$456)&lt;&gt;18)*($M$7:$M$456&lt;=$N18)*($N$7:$N$456&gt;=$M18))&gt;0,"⚠ Çakışma","OK")))</f>
        <v/>
      </c>
      <c r="R18" s="37" t="str">
        <f aca="false">IF($A18&lt;&gt;"Seçildi","",IF(OR($D18="",$I18="",$M18=""),"",IF(SUMPRODUCT(($A$7:$A$456="Seçildi")*($D$7:$D$456=$D18)*($I$7:$I$456=$I18)*(ROW($A$7:$A$456)&lt;&gt;18)*($M$7:$M$456&lt;=$N18)*($N$7:$N$456&gt;=$M18))&gt;0,"⚠ Çakışma","OK")))</f>
        <v/>
      </c>
      <c r="S18" s="37"/>
      <c r="T18" s="37" t="str">
        <f aca="false">IF(OR($A18&lt;&gt;"Seçildi",AND($I18="",$J18="")),"",IF(OR($O18&lt;&gt;"",$P18="⚠ Çakışma",$Q18="⚠ Çakışma",$R18="⚠ Çakışma"),"⚠ Kontrol Et","✓ Uygun"))</f>
        <v/>
      </c>
    </row>
    <row r="19" customFormat="false" ht="13.5" hidden="false" customHeight="true" outlineLevel="0" collapsed="false">
      <c r="A19" s="33" t="str">
        <f aca="false">'1-Ders Havuzu'!K7</f>
        <v>Seçilmedi</v>
      </c>
      <c r="B19" s="33" t="str">
        <f aca="false">IF($A19="Seçildi",IF('1-Ders Havuzu'!C7="","",'1-Ders Havuzu'!C7),"")</f>
        <v/>
      </c>
      <c r="C19" s="34" t="str">
        <f aca="false">IF($A19="Seçildi",IF('1-Ders Havuzu'!D7="","",'1-Ders Havuzu'!D7),"")</f>
        <v/>
      </c>
      <c r="D19" s="33" t="str">
        <f aca="false">IF($A19="Seçildi",IF('1-Ders Havuzu'!B7="","",'1-Ders Havuzu'!B7),"")</f>
        <v/>
      </c>
      <c r="E19" s="33" t="str">
        <f aca="false">IF($A19="Seçildi",IF('1-Ders Havuzu'!A7="","",'1-Ders Havuzu'!A7),"")</f>
        <v/>
      </c>
      <c r="F19" s="33" t="str">
        <f aca="false">IF($A19="Seçildi",IF('1-Ders Havuzu'!H7="","",'1-Ders Havuzu'!H7),"")</f>
        <v/>
      </c>
      <c r="G19" s="33" t="str">
        <f aca="false">IF($A19="Seçildi",IF('2-Ders-Öğr.Elemanı Eşleştirme'!H7="","",'2-Ders-Öğr.Elemanı Eşleştirme'!H7),"")</f>
        <v/>
      </c>
      <c r="H19" s="35" t="n">
        <v>1</v>
      </c>
      <c r="I19" s="36"/>
      <c r="J19" s="36"/>
      <c r="K19" s="36"/>
      <c r="L19" s="36"/>
      <c r="M19" s="33" t="str">
        <f aca="false">IF($J19="","",MATCH($J19,{"08.00";"09.00";"10.00";"11.00";"12.00";"13.00";"14.00";"15.00";"16.00";"17.00"},0))</f>
        <v/>
      </c>
      <c r="N19" s="33" t="str">
        <f aca="false">IF(OR($M19="",$K19=""),"",$M19+$K19-1)</f>
        <v/>
      </c>
      <c r="O19" s="33" t="str">
        <f aca="false">IF($A19&lt;&gt;"Seçildi","",IF(OR($M19="",$N19=""),"",IF($N19&gt;10,"⚠ Saat Taşıyor","")))</f>
        <v/>
      </c>
      <c r="P19" s="33" t="str">
        <f aca="false">IF($A19&lt;&gt;"Seçildi","",IF(OR($G19="",$I19="",$M19=""),"",IF(SUMPRODUCT(($A$7:$A$456="Seçildi")*($G$7:$G$456=$G19)*($I$7:$I$456=$I19)*(ROW($A$7:$A$456)&lt;&gt;19)*($M$7:$M$456&lt;=$N19)*($N$7:$N$456&gt;=$M19))&gt;0,"⚠ Çakışma","OK")))</f>
        <v/>
      </c>
      <c r="Q19" s="33" t="str">
        <f aca="false">IF($A19&lt;&gt;"Seçildi","",IF(OR($L19="",$I19="",$M19=""),"",IF(SUMPRODUCT(($A$7:$A$456="Seçildi")*($L$7:$L$456=$L19)*($I$7:$I$456=$I19)*(ROW($A$7:$A$456)&lt;&gt;19)*($M$7:$M$456&lt;=$N19)*($N$7:$N$456&gt;=$M19))&gt;0,"⚠ Çakışma","OK")))</f>
        <v/>
      </c>
      <c r="R19" s="33" t="str">
        <f aca="false">IF($A19&lt;&gt;"Seçildi","",IF(OR($D19="",$I19="",$M19=""),"",IF(SUMPRODUCT(($A$7:$A$456="Seçildi")*($D$7:$D$456=$D19)*($I$7:$I$456=$I19)*(ROW($A$7:$A$456)&lt;&gt;19)*($M$7:$M$456&lt;=$N19)*($N$7:$N$456&gt;=$M19))&gt;0,"⚠ Çakışma","OK")))</f>
        <v/>
      </c>
      <c r="S19" s="33" t="str">
        <f aca="false">IF($A19&lt;&gt;"Seçildi","",IF(SUM($K19,$K20,$K21)&lt;&gt;$F19,"⚠ Dağılım: "&amp;SUM($K19:$K21)&amp;"/"&amp;$F19&amp;" saat","✓ Tamam"))</f>
        <v/>
      </c>
      <c r="T19" s="33" t="str">
        <f aca="false">IF($A19&lt;&gt;"Seçildi","",IF(OR($O19&lt;&gt;"",$P19="⚠ Çakışma",$Q19="⚠ Çakışma",$R19="⚠ Çakışma",LEFT($S19&amp;" ",1)="⚠"),"⚠ Kontrol Et","✓ Uygun"))</f>
        <v/>
      </c>
    </row>
    <row r="20" customFormat="false" ht="13.5" hidden="false" customHeight="true" outlineLevel="0" collapsed="false">
      <c r="A20" s="33" t="str">
        <f aca="false">'1-Ders Havuzu'!K7</f>
        <v>Seçilmedi</v>
      </c>
      <c r="B20" s="33" t="str">
        <f aca="false">IF($A20="Seçildi",IF('1-Ders Havuzu'!C7="","",'1-Ders Havuzu'!C7),"")</f>
        <v/>
      </c>
      <c r="C20" s="34" t="str">
        <f aca="false">IF($A20="Seçildi",IF('1-Ders Havuzu'!D7="","",'1-Ders Havuzu'!D7),"")</f>
        <v/>
      </c>
      <c r="D20" s="33" t="str">
        <f aca="false">IF($A20="Seçildi",IF('1-Ders Havuzu'!B7="","",'1-Ders Havuzu'!B7),"")</f>
        <v/>
      </c>
      <c r="E20" s="33" t="str">
        <f aca="false">IF($A20="Seçildi",IF('1-Ders Havuzu'!A7="","",'1-Ders Havuzu'!A7),"")</f>
        <v/>
      </c>
      <c r="F20" s="33" t="str">
        <f aca="false">IF($A20="Seçildi",IF('1-Ders Havuzu'!H7="","",'1-Ders Havuzu'!H7),"")</f>
        <v/>
      </c>
      <c r="G20" s="33" t="str">
        <f aca="false">IF($A20="Seçildi",IF('2-Ders-Öğr.Elemanı Eşleştirme'!H7="","",'2-Ders-Öğr.Elemanı Eşleştirme'!H7),"")</f>
        <v/>
      </c>
      <c r="H20" s="35" t="n">
        <v>2</v>
      </c>
      <c r="I20" s="36"/>
      <c r="J20" s="36"/>
      <c r="K20" s="36"/>
      <c r="L20" s="36"/>
      <c r="M20" s="33" t="str">
        <f aca="false">IF($J20="","",MATCH($J20,{"08.00";"09.00";"10.00";"11.00";"12.00";"13.00";"14.00";"15.00";"16.00";"17.00"},0))</f>
        <v/>
      </c>
      <c r="N20" s="33" t="str">
        <f aca="false">IF(OR($M20="",$K20=""),"",$M20+$K20-1)</f>
        <v/>
      </c>
      <c r="O20" s="33" t="str">
        <f aca="false">IF($A20&lt;&gt;"Seçildi","",IF(OR($M20="",$N20=""),"",IF($N20&gt;10,"⚠ Saat Taşıyor","")))</f>
        <v/>
      </c>
      <c r="P20" s="33" t="str">
        <f aca="false">IF($A20&lt;&gt;"Seçildi","",IF(OR($G20="",$I20="",$M20=""),"",IF(SUMPRODUCT(($A$7:$A$456="Seçildi")*($G$7:$G$456=$G20)*($I$7:$I$456=$I20)*(ROW($A$7:$A$456)&lt;&gt;20)*($M$7:$M$456&lt;=$N20)*($N$7:$N$456&gt;=$M20))&gt;0,"⚠ Çakışma","OK")))</f>
        <v/>
      </c>
      <c r="Q20" s="33" t="str">
        <f aca="false">IF($A20&lt;&gt;"Seçildi","",IF(OR($L20="",$I20="",$M20=""),"",IF(SUMPRODUCT(($A$7:$A$456="Seçildi")*($L$7:$L$456=$L20)*($I$7:$I$456=$I20)*(ROW($A$7:$A$456)&lt;&gt;20)*($M$7:$M$456&lt;=$N20)*($N$7:$N$456&gt;=$M20))&gt;0,"⚠ Çakışma","OK")))</f>
        <v/>
      </c>
      <c r="R20" s="33" t="str">
        <f aca="false">IF($A20&lt;&gt;"Seçildi","",IF(OR($D20="",$I20="",$M20=""),"",IF(SUMPRODUCT(($A$7:$A$456="Seçildi")*($D$7:$D$456=$D20)*($I$7:$I$456=$I20)*(ROW($A$7:$A$456)&lt;&gt;20)*($M$7:$M$456&lt;=$N20)*($N$7:$N$456&gt;=$M20))&gt;0,"⚠ Çakışma","OK")))</f>
        <v/>
      </c>
      <c r="S20" s="33"/>
      <c r="T20" s="33" t="str">
        <f aca="false">IF(OR($A20&lt;&gt;"Seçildi",AND($I20="",$J20="")),"",IF(OR($O20&lt;&gt;"",$P20="⚠ Çakışma",$Q20="⚠ Çakışma",$R20="⚠ Çakışma"),"⚠ Kontrol Et","✓ Uygun"))</f>
        <v/>
      </c>
    </row>
    <row r="21" customFormat="false" ht="13.5" hidden="false" customHeight="true" outlineLevel="0" collapsed="false">
      <c r="A21" s="33" t="str">
        <f aca="false">'1-Ders Havuzu'!K7</f>
        <v>Seçilmedi</v>
      </c>
      <c r="B21" s="33" t="str">
        <f aca="false">IF($A21="Seçildi",IF('1-Ders Havuzu'!C7="","",'1-Ders Havuzu'!C7),"")</f>
        <v/>
      </c>
      <c r="C21" s="34" t="str">
        <f aca="false">IF($A21="Seçildi",IF('1-Ders Havuzu'!D7="","",'1-Ders Havuzu'!D7),"")</f>
        <v/>
      </c>
      <c r="D21" s="33" t="str">
        <f aca="false">IF($A21="Seçildi",IF('1-Ders Havuzu'!B7="","",'1-Ders Havuzu'!B7),"")</f>
        <v/>
      </c>
      <c r="E21" s="33" t="str">
        <f aca="false">IF($A21="Seçildi",IF('1-Ders Havuzu'!A7="","",'1-Ders Havuzu'!A7),"")</f>
        <v/>
      </c>
      <c r="F21" s="33" t="str">
        <f aca="false">IF($A21="Seçildi",IF('1-Ders Havuzu'!H7="","",'1-Ders Havuzu'!H7),"")</f>
        <v/>
      </c>
      <c r="G21" s="33" t="str">
        <f aca="false">IF($A21="Seçildi",IF('2-Ders-Öğr.Elemanı Eşleştirme'!H7="","",'2-Ders-Öğr.Elemanı Eşleştirme'!H7),"")</f>
        <v/>
      </c>
      <c r="H21" s="35" t="n">
        <v>3</v>
      </c>
      <c r="I21" s="36"/>
      <c r="J21" s="36"/>
      <c r="K21" s="36"/>
      <c r="L21" s="36"/>
      <c r="M21" s="33" t="str">
        <f aca="false">IF($J21="","",MATCH($J21,{"08.00";"09.00";"10.00";"11.00";"12.00";"13.00";"14.00";"15.00";"16.00";"17.00"},0))</f>
        <v/>
      </c>
      <c r="N21" s="33" t="str">
        <f aca="false">IF(OR($M21="",$K21=""),"",$M21+$K21-1)</f>
        <v/>
      </c>
      <c r="O21" s="33" t="str">
        <f aca="false">IF($A21&lt;&gt;"Seçildi","",IF(OR($M21="",$N21=""),"",IF($N21&gt;10,"⚠ Saat Taşıyor","")))</f>
        <v/>
      </c>
      <c r="P21" s="33" t="str">
        <f aca="false">IF($A21&lt;&gt;"Seçildi","",IF(OR($G21="",$I21="",$M21=""),"",IF(SUMPRODUCT(($A$7:$A$456="Seçildi")*($G$7:$G$456=$G21)*($I$7:$I$456=$I21)*(ROW($A$7:$A$456)&lt;&gt;21)*($M$7:$M$456&lt;=$N21)*($N$7:$N$456&gt;=$M21))&gt;0,"⚠ Çakışma","OK")))</f>
        <v/>
      </c>
      <c r="Q21" s="33" t="str">
        <f aca="false">IF($A21&lt;&gt;"Seçildi","",IF(OR($L21="",$I21="",$M21=""),"",IF(SUMPRODUCT(($A$7:$A$456="Seçildi")*($L$7:$L$456=$L21)*($I$7:$I$456=$I21)*(ROW($A$7:$A$456)&lt;&gt;21)*($M$7:$M$456&lt;=$N21)*($N$7:$N$456&gt;=$M21))&gt;0,"⚠ Çakışma","OK")))</f>
        <v/>
      </c>
      <c r="R21" s="33" t="str">
        <f aca="false">IF($A21&lt;&gt;"Seçildi","",IF(OR($D21="",$I21="",$M21=""),"",IF(SUMPRODUCT(($A$7:$A$456="Seçildi")*($D$7:$D$456=$D21)*($I$7:$I$456=$I21)*(ROW($A$7:$A$456)&lt;&gt;21)*($M$7:$M$456&lt;=$N21)*($N$7:$N$456&gt;=$M21))&gt;0,"⚠ Çakışma","OK")))</f>
        <v/>
      </c>
      <c r="S21" s="33"/>
      <c r="T21" s="33" t="str">
        <f aca="false">IF(OR($A21&lt;&gt;"Seçildi",AND($I21="",$J21="")),"",IF(OR($O21&lt;&gt;"",$P21="⚠ Çakışma",$Q21="⚠ Çakışma",$R21="⚠ Çakışma"),"⚠ Kontrol Et","✓ Uygun"))</f>
        <v/>
      </c>
    </row>
    <row r="22" customFormat="false" ht="13.5" hidden="false" customHeight="true" outlineLevel="0" collapsed="false">
      <c r="A22" s="37" t="str">
        <f aca="false">'1-Ders Havuzu'!K8</f>
        <v>Seçilmedi</v>
      </c>
      <c r="B22" s="37" t="str">
        <f aca="false">IF($A22="Seçildi",IF('1-Ders Havuzu'!C8="","",'1-Ders Havuzu'!C8),"")</f>
        <v/>
      </c>
      <c r="C22" s="38" t="str">
        <f aca="false">IF($A22="Seçildi",IF('1-Ders Havuzu'!D8="","",'1-Ders Havuzu'!D8),"")</f>
        <v/>
      </c>
      <c r="D22" s="37" t="str">
        <f aca="false">IF($A22="Seçildi",IF('1-Ders Havuzu'!B8="","",'1-Ders Havuzu'!B8),"")</f>
        <v/>
      </c>
      <c r="E22" s="37" t="str">
        <f aca="false">IF($A22="Seçildi",IF('1-Ders Havuzu'!A8="","",'1-Ders Havuzu'!A8),"")</f>
        <v/>
      </c>
      <c r="F22" s="37" t="str">
        <f aca="false">IF($A22="Seçildi",IF('1-Ders Havuzu'!H8="","",'1-Ders Havuzu'!H8),"")</f>
        <v/>
      </c>
      <c r="G22" s="37" t="str">
        <f aca="false">IF($A22="Seçildi",IF('2-Ders-Öğr.Elemanı Eşleştirme'!H8="","",'2-Ders-Öğr.Elemanı Eşleştirme'!H8),"")</f>
        <v/>
      </c>
      <c r="H22" s="39" t="n">
        <v>1</v>
      </c>
      <c r="I22" s="36"/>
      <c r="J22" s="36"/>
      <c r="K22" s="36"/>
      <c r="L22" s="36"/>
      <c r="M22" s="37" t="str">
        <f aca="false">IF($J22="","",MATCH($J22,{"08.00";"09.00";"10.00";"11.00";"12.00";"13.00";"14.00";"15.00";"16.00";"17.00"},0))</f>
        <v/>
      </c>
      <c r="N22" s="37" t="str">
        <f aca="false">IF(OR($M22="",$K22=""),"",$M22+$K22-1)</f>
        <v/>
      </c>
      <c r="O22" s="37" t="str">
        <f aca="false">IF($A22&lt;&gt;"Seçildi","",IF(OR($M22="",$N22=""),"",IF($N22&gt;10,"⚠ Saat Taşıyor","")))</f>
        <v/>
      </c>
      <c r="P22" s="37" t="str">
        <f aca="false">IF($A22&lt;&gt;"Seçildi","",IF(OR($G22="",$I22="",$M22=""),"",IF(SUMPRODUCT(($A$7:$A$456="Seçildi")*($G$7:$G$456=$G22)*($I$7:$I$456=$I22)*(ROW($A$7:$A$456)&lt;&gt;22)*($M$7:$M$456&lt;=$N22)*($N$7:$N$456&gt;=$M22))&gt;0,"⚠ Çakışma","OK")))</f>
        <v/>
      </c>
      <c r="Q22" s="37" t="str">
        <f aca="false">IF($A22&lt;&gt;"Seçildi","",IF(OR($L22="",$I22="",$M22=""),"",IF(SUMPRODUCT(($A$7:$A$456="Seçildi")*($L$7:$L$456=$L22)*($I$7:$I$456=$I22)*(ROW($A$7:$A$456)&lt;&gt;22)*($M$7:$M$456&lt;=$N22)*($N$7:$N$456&gt;=$M22))&gt;0,"⚠ Çakışma","OK")))</f>
        <v/>
      </c>
      <c r="R22" s="37" t="str">
        <f aca="false">IF($A22&lt;&gt;"Seçildi","",IF(OR($D22="",$I22="",$M22=""),"",IF(SUMPRODUCT(($A$7:$A$456="Seçildi")*($D$7:$D$456=$D22)*($I$7:$I$456=$I22)*(ROW($A$7:$A$456)&lt;&gt;22)*($M$7:$M$456&lt;=$N22)*($N$7:$N$456&gt;=$M22))&gt;0,"⚠ Çakışma","OK")))</f>
        <v/>
      </c>
      <c r="S22" s="37" t="str">
        <f aca="false">IF($A22&lt;&gt;"Seçildi","",IF(SUM($K22,$K23,$K24)&lt;&gt;$F22,"⚠ Dağılım: "&amp;SUM($K22:$K24)&amp;"/"&amp;$F22&amp;" saat","✓ Tamam"))</f>
        <v/>
      </c>
      <c r="T22" s="37" t="str">
        <f aca="false">IF($A22&lt;&gt;"Seçildi","",IF(OR($O22&lt;&gt;"",$P22="⚠ Çakışma",$Q22="⚠ Çakışma",$R22="⚠ Çakışma",LEFT($S22&amp;" ",1)="⚠"),"⚠ Kontrol Et","✓ Uygun"))</f>
        <v/>
      </c>
    </row>
    <row r="23" customFormat="false" ht="13.5" hidden="false" customHeight="true" outlineLevel="0" collapsed="false">
      <c r="A23" s="37" t="str">
        <f aca="false">'1-Ders Havuzu'!K8</f>
        <v>Seçilmedi</v>
      </c>
      <c r="B23" s="37" t="str">
        <f aca="false">IF($A23="Seçildi",IF('1-Ders Havuzu'!C8="","",'1-Ders Havuzu'!C8),"")</f>
        <v/>
      </c>
      <c r="C23" s="38" t="str">
        <f aca="false">IF($A23="Seçildi",IF('1-Ders Havuzu'!D8="","",'1-Ders Havuzu'!D8),"")</f>
        <v/>
      </c>
      <c r="D23" s="37" t="str">
        <f aca="false">IF($A23="Seçildi",IF('1-Ders Havuzu'!B8="","",'1-Ders Havuzu'!B8),"")</f>
        <v/>
      </c>
      <c r="E23" s="37" t="str">
        <f aca="false">IF($A23="Seçildi",IF('1-Ders Havuzu'!A8="","",'1-Ders Havuzu'!A8),"")</f>
        <v/>
      </c>
      <c r="F23" s="37" t="str">
        <f aca="false">IF($A23="Seçildi",IF('1-Ders Havuzu'!H8="","",'1-Ders Havuzu'!H8),"")</f>
        <v/>
      </c>
      <c r="G23" s="37" t="str">
        <f aca="false">IF($A23="Seçildi",IF('2-Ders-Öğr.Elemanı Eşleştirme'!H8="","",'2-Ders-Öğr.Elemanı Eşleştirme'!H8),"")</f>
        <v/>
      </c>
      <c r="H23" s="39" t="n">
        <v>2</v>
      </c>
      <c r="I23" s="36"/>
      <c r="J23" s="36"/>
      <c r="K23" s="36"/>
      <c r="L23" s="36"/>
      <c r="M23" s="37" t="str">
        <f aca="false">IF($J23="","",MATCH($J23,{"08.00";"09.00";"10.00";"11.00";"12.00";"13.00";"14.00";"15.00";"16.00";"17.00"},0))</f>
        <v/>
      </c>
      <c r="N23" s="37" t="str">
        <f aca="false">IF(OR($M23="",$K23=""),"",$M23+$K23-1)</f>
        <v/>
      </c>
      <c r="O23" s="37" t="str">
        <f aca="false">IF($A23&lt;&gt;"Seçildi","",IF(OR($M23="",$N23=""),"",IF($N23&gt;10,"⚠ Saat Taşıyor","")))</f>
        <v/>
      </c>
      <c r="P23" s="37" t="str">
        <f aca="false">IF($A23&lt;&gt;"Seçildi","",IF(OR($G23="",$I23="",$M23=""),"",IF(SUMPRODUCT(($A$7:$A$456="Seçildi")*($G$7:$G$456=$G23)*($I$7:$I$456=$I23)*(ROW($A$7:$A$456)&lt;&gt;23)*($M$7:$M$456&lt;=$N23)*($N$7:$N$456&gt;=$M23))&gt;0,"⚠ Çakışma","OK")))</f>
        <v/>
      </c>
      <c r="Q23" s="37" t="str">
        <f aca="false">IF($A23&lt;&gt;"Seçildi","",IF(OR($L23="",$I23="",$M23=""),"",IF(SUMPRODUCT(($A$7:$A$456="Seçildi")*($L$7:$L$456=$L23)*($I$7:$I$456=$I23)*(ROW($A$7:$A$456)&lt;&gt;23)*($M$7:$M$456&lt;=$N23)*($N$7:$N$456&gt;=$M23))&gt;0,"⚠ Çakışma","OK")))</f>
        <v/>
      </c>
      <c r="R23" s="37" t="str">
        <f aca="false">IF($A23&lt;&gt;"Seçildi","",IF(OR($D23="",$I23="",$M23=""),"",IF(SUMPRODUCT(($A$7:$A$456="Seçildi")*($D$7:$D$456=$D23)*($I$7:$I$456=$I23)*(ROW($A$7:$A$456)&lt;&gt;23)*($M$7:$M$456&lt;=$N23)*($N$7:$N$456&gt;=$M23))&gt;0,"⚠ Çakışma","OK")))</f>
        <v/>
      </c>
      <c r="S23" s="37"/>
      <c r="T23" s="37" t="str">
        <f aca="false">IF(OR($A23&lt;&gt;"Seçildi",AND($I23="",$J23="")),"",IF(OR($O23&lt;&gt;"",$P23="⚠ Çakışma",$Q23="⚠ Çakışma",$R23="⚠ Çakışma"),"⚠ Kontrol Et","✓ Uygun"))</f>
        <v/>
      </c>
    </row>
    <row r="24" customFormat="false" ht="13.5" hidden="false" customHeight="true" outlineLevel="0" collapsed="false">
      <c r="A24" s="37" t="str">
        <f aca="false">'1-Ders Havuzu'!K8</f>
        <v>Seçilmedi</v>
      </c>
      <c r="B24" s="37" t="str">
        <f aca="false">IF($A24="Seçildi",IF('1-Ders Havuzu'!C8="","",'1-Ders Havuzu'!C8),"")</f>
        <v/>
      </c>
      <c r="C24" s="38" t="str">
        <f aca="false">IF($A24="Seçildi",IF('1-Ders Havuzu'!D8="","",'1-Ders Havuzu'!D8),"")</f>
        <v/>
      </c>
      <c r="D24" s="37" t="str">
        <f aca="false">IF($A24="Seçildi",IF('1-Ders Havuzu'!B8="","",'1-Ders Havuzu'!B8),"")</f>
        <v/>
      </c>
      <c r="E24" s="37" t="str">
        <f aca="false">IF($A24="Seçildi",IF('1-Ders Havuzu'!A8="","",'1-Ders Havuzu'!A8),"")</f>
        <v/>
      </c>
      <c r="F24" s="37" t="str">
        <f aca="false">IF($A24="Seçildi",IF('1-Ders Havuzu'!H8="","",'1-Ders Havuzu'!H8),"")</f>
        <v/>
      </c>
      <c r="G24" s="37" t="str">
        <f aca="false">IF($A24="Seçildi",IF('2-Ders-Öğr.Elemanı Eşleştirme'!H8="","",'2-Ders-Öğr.Elemanı Eşleştirme'!H8),"")</f>
        <v/>
      </c>
      <c r="H24" s="39" t="n">
        <v>3</v>
      </c>
      <c r="I24" s="36"/>
      <c r="J24" s="36"/>
      <c r="K24" s="36"/>
      <c r="L24" s="36"/>
      <c r="M24" s="37" t="str">
        <f aca="false">IF($J24="","",MATCH($J24,{"08.00";"09.00";"10.00";"11.00";"12.00";"13.00";"14.00";"15.00";"16.00";"17.00"},0))</f>
        <v/>
      </c>
      <c r="N24" s="37" t="str">
        <f aca="false">IF(OR($M24="",$K24=""),"",$M24+$K24-1)</f>
        <v/>
      </c>
      <c r="O24" s="37" t="str">
        <f aca="false">IF($A24&lt;&gt;"Seçildi","",IF(OR($M24="",$N24=""),"",IF($N24&gt;10,"⚠ Saat Taşıyor","")))</f>
        <v/>
      </c>
      <c r="P24" s="37" t="str">
        <f aca="false">IF($A24&lt;&gt;"Seçildi","",IF(OR($G24="",$I24="",$M24=""),"",IF(SUMPRODUCT(($A$7:$A$456="Seçildi")*($G$7:$G$456=$G24)*($I$7:$I$456=$I24)*(ROW($A$7:$A$456)&lt;&gt;24)*($M$7:$M$456&lt;=$N24)*($N$7:$N$456&gt;=$M24))&gt;0,"⚠ Çakışma","OK")))</f>
        <v/>
      </c>
      <c r="Q24" s="37" t="str">
        <f aca="false">IF($A24&lt;&gt;"Seçildi","",IF(OR($L24="",$I24="",$M24=""),"",IF(SUMPRODUCT(($A$7:$A$456="Seçildi")*($L$7:$L$456=$L24)*($I$7:$I$456=$I24)*(ROW($A$7:$A$456)&lt;&gt;24)*($M$7:$M$456&lt;=$N24)*($N$7:$N$456&gt;=$M24))&gt;0,"⚠ Çakışma","OK")))</f>
        <v/>
      </c>
      <c r="R24" s="37" t="str">
        <f aca="false">IF($A24&lt;&gt;"Seçildi","",IF(OR($D24="",$I24="",$M24=""),"",IF(SUMPRODUCT(($A$7:$A$456="Seçildi")*($D$7:$D$456=$D24)*($I$7:$I$456=$I24)*(ROW($A$7:$A$456)&lt;&gt;24)*($M$7:$M$456&lt;=$N24)*($N$7:$N$456&gt;=$M24))&gt;0,"⚠ Çakışma","OK")))</f>
        <v/>
      </c>
      <c r="S24" s="37"/>
      <c r="T24" s="37" t="str">
        <f aca="false">IF(OR($A24&lt;&gt;"Seçildi",AND($I24="",$J24="")),"",IF(OR($O24&lt;&gt;"",$P24="⚠ Çakışma",$Q24="⚠ Çakışma",$R24="⚠ Çakışma"),"⚠ Kontrol Et","✓ Uygun"))</f>
        <v/>
      </c>
    </row>
    <row r="25" customFormat="false" ht="13.5" hidden="false" customHeight="true" outlineLevel="0" collapsed="false">
      <c r="A25" s="33" t="str">
        <f aca="false">'1-Ders Havuzu'!K9</f>
        <v>Seçilmedi</v>
      </c>
      <c r="B25" s="33" t="str">
        <f aca="false">IF($A25="Seçildi",IF('1-Ders Havuzu'!C9="","",'1-Ders Havuzu'!C9),"")</f>
        <v/>
      </c>
      <c r="C25" s="34" t="str">
        <f aca="false">IF($A25="Seçildi",IF('1-Ders Havuzu'!D9="","",'1-Ders Havuzu'!D9),"")</f>
        <v/>
      </c>
      <c r="D25" s="33" t="str">
        <f aca="false">IF($A25="Seçildi",IF('1-Ders Havuzu'!B9="","",'1-Ders Havuzu'!B9),"")</f>
        <v/>
      </c>
      <c r="E25" s="33" t="str">
        <f aca="false">IF($A25="Seçildi",IF('1-Ders Havuzu'!A9="","",'1-Ders Havuzu'!A9),"")</f>
        <v/>
      </c>
      <c r="F25" s="33" t="str">
        <f aca="false">IF($A25="Seçildi",IF('1-Ders Havuzu'!H9="","",'1-Ders Havuzu'!H9),"")</f>
        <v/>
      </c>
      <c r="G25" s="33" t="str">
        <f aca="false">IF($A25="Seçildi",IF('2-Ders-Öğr.Elemanı Eşleştirme'!H9="","",'2-Ders-Öğr.Elemanı Eşleştirme'!H9),"")</f>
        <v/>
      </c>
      <c r="H25" s="35" t="n">
        <v>1</v>
      </c>
      <c r="I25" s="36"/>
      <c r="J25" s="36"/>
      <c r="K25" s="36"/>
      <c r="L25" s="36"/>
      <c r="M25" s="33" t="str">
        <f aca="false">IF($J25="","",MATCH($J25,{"08.00";"09.00";"10.00";"11.00";"12.00";"13.00";"14.00";"15.00";"16.00";"17.00"},0))</f>
        <v/>
      </c>
      <c r="N25" s="33" t="str">
        <f aca="false">IF(OR($M25="",$K25=""),"",$M25+$K25-1)</f>
        <v/>
      </c>
      <c r="O25" s="33" t="str">
        <f aca="false">IF($A25&lt;&gt;"Seçildi","",IF(OR($M25="",$N25=""),"",IF($N25&gt;10,"⚠ Saat Taşıyor","")))</f>
        <v/>
      </c>
      <c r="P25" s="33" t="str">
        <f aca="false">IF($A25&lt;&gt;"Seçildi","",IF(OR($G25="",$I25="",$M25=""),"",IF(SUMPRODUCT(($A$7:$A$456="Seçildi")*($G$7:$G$456=$G25)*($I$7:$I$456=$I25)*(ROW($A$7:$A$456)&lt;&gt;25)*($M$7:$M$456&lt;=$N25)*($N$7:$N$456&gt;=$M25))&gt;0,"⚠ Çakışma","OK")))</f>
        <v/>
      </c>
      <c r="Q25" s="33" t="str">
        <f aca="false">IF($A25&lt;&gt;"Seçildi","",IF(OR($L25="",$I25="",$M25=""),"",IF(SUMPRODUCT(($A$7:$A$456="Seçildi")*($L$7:$L$456=$L25)*($I$7:$I$456=$I25)*(ROW($A$7:$A$456)&lt;&gt;25)*($M$7:$M$456&lt;=$N25)*($N$7:$N$456&gt;=$M25))&gt;0,"⚠ Çakışma","OK")))</f>
        <v/>
      </c>
      <c r="R25" s="33" t="str">
        <f aca="false">IF($A25&lt;&gt;"Seçildi","",IF(OR($D25="",$I25="",$M25=""),"",IF(SUMPRODUCT(($A$7:$A$456="Seçildi")*($D$7:$D$456=$D25)*($I$7:$I$456=$I25)*(ROW($A$7:$A$456)&lt;&gt;25)*($M$7:$M$456&lt;=$N25)*($N$7:$N$456&gt;=$M25))&gt;0,"⚠ Çakışma","OK")))</f>
        <v/>
      </c>
      <c r="S25" s="33" t="str">
        <f aca="false">IF($A25&lt;&gt;"Seçildi","",IF(SUM($K25,$K26,$K27)&lt;&gt;$F25,"⚠ Dağılım: "&amp;SUM($K25:$K27)&amp;"/"&amp;$F25&amp;" saat","✓ Tamam"))</f>
        <v/>
      </c>
      <c r="T25" s="33" t="str">
        <f aca="false">IF($A25&lt;&gt;"Seçildi","",IF(OR($O25&lt;&gt;"",$P25="⚠ Çakışma",$Q25="⚠ Çakışma",$R25="⚠ Çakışma",LEFT($S25&amp;" ",1)="⚠"),"⚠ Kontrol Et","✓ Uygun"))</f>
        <v/>
      </c>
    </row>
    <row r="26" customFormat="false" ht="13.5" hidden="false" customHeight="true" outlineLevel="0" collapsed="false">
      <c r="A26" s="33" t="str">
        <f aca="false">'1-Ders Havuzu'!K9</f>
        <v>Seçilmedi</v>
      </c>
      <c r="B26" s="33" t="str">
        <f aca="false">IF($A26="Seçildi",IF('1-Ders Havuzu'!C9="","",'1-Ders Havuzu'!C9),"")</f>
        <v/>
      </c>
      <c r="C26" s="34" t="str">
        <f aca="false">IF($A26="Seçildi",IF('1-Ders Havuzu'!D9="","",'1-Ders Havuzu'!D9),"")</f>
        <v/>
      </c>
      <c r="D26" s="33" t="str">
        <f aca="false">IF($A26="Seçildi",IF('1-Ders Havuzu'!B9="","",'1-Ders Havuzu'!B9),"")</f>
        <v/>
      </c>
      <c r="E26" s="33" t="str">
        <f aca="false">IF($A26="Seçildi",IF('1-Ders Havuzu'!A9="","",'1-Ders Havuzu'!A9),"")</f>
        <v/>
      </c>
      <c r="F26" s="33" t="str">
        <f aca="false">IF($A26="Seçildi",IF('1-Ders Havuzu'!H9="","",'1-Ders Havuzu'!H9),"")</f>
        <v/>
      </c>
      <c r="G26" s="33" t="str">
        <f aca="false">IF($A26="Seçildi",IF('2-Ders-Öğr.Elemanı Eşleştirme'!H9="","",'2-Ders-Öğr.Elemanı Eşleştirme'!H9),"")</f>
        <v/>
      </c>
      <c r="H26" s="35" t="n">
        <v>2</v>
      </c>
      <c r="I26" s="36"/>
      <c r="J26" s="36"/>
      <c r="K26" s="36"/>
      <c r="L26" s="36"/>
      <c r="M26" s="33" t="str">
        <f aca="false">IF($J26="","",MATCH($J26,{"08.00";"09.00";"10.00";"11.00";"12.00";"13.00";"14.00";"15.00";"16.00";"17.00"},0))</f>
        <v/>
      </c>
      <c r="N26" s="33" t="str">
        <f aca="false">IF(OR($M26="",$K26=""),"",$M26+$K26-1)</f>
        <v/>
      </c>
      <c r="O26" s="33" t="str">
        <f aca="false">IF($A26&lt;&gt;"Seçildi","",IF(OR($M26="",$N26=""),"",IF($N26&gt;10,"⚠ Saat Taşıyor","")))</f>
        <v/>
      </c>
      <c r="P26" s="33" t="str">
        <f aca="false">IF($A26&lt;&gt;"Seçildi","",IF(OR($G26="",$I26="",$M26=""),"",IF(SUMPRODUCT(($A$7:$A$456="Seçildi")*($G$7:$G$456=$G26)*($I$7:$I$456=$I26)*(ROW($A$7:$A$456)&lt;&gt;26)*($M$7:$M$456&lt;=$N26)*($N$7:$N$456&gt;=$M26))&gt;0,"⚠ Çakışma","OK")))</f>
        <v/>
      </c>
      <c r="Q26" s="33" t="str">
        <f aca="false">IF($A26&lt;&gt;"Seçildi","",IF(OR($L26="",$I26="",$M26=""),"",IF(SUMPRODUCT(($A$7:$A$456="Seçildi")*($L$7:$L$456=$L26)*($I$7:$I$456=$I26)*(ROW($A$7:$A$456)&lt;&gt;26)*($M$7:$M$456&lt;=$N26)*($N$7:$N$456&gt;=$M26))&gt;0,"⚠ Çakışma","OK")))</f>
        <v/>
      </c>
      <c r="R26" s="33" t="str">
        <f aca="false">IF($A26&lt;&gt;"Seçildi","",IF(OR($D26="",$I26="",$M26=""),"",IF(SUMPRODUCT(($A$7:$A$456="Seçildi")*($D$7:$D$456=$D26)*($I$7:$I$456=$I26)*(ROW($A$7:$A$456)&lt;&gt;26)*($M$7:$M$456&lt;=$N26)*($N$7:$N$456&gt;=$M26))&gt;0,"⚠ Çakışma","OK")))</f>
        <v/>
      </c>
      <c r="S26" s="33"/>
      <c r="T26" s="33" t="str">
        <f aca="false">IF(OR($A26&lt;&gt;"Seçildi",AND($I26="",$J26="")),"",IF(OR($O26&lt;&gt;"",$P26="⚠ Çakışma",$Q26="⚠ Çakışma",$R26="⚠ Çakışma"),"⚠ Kontrol Et","✓ Uygun"))</f>
        <v/>
      </c>
    </row>
    <row r="27" customFormat="false" ht="13.5" hidden="false" customHeight="true" outlineLevel="0" collapsed="false">
      <c r="A27" s="33" t="str">
        <f aca="false">'1-Ders Havuzu'!K9</f>
        <v>Seçilmedi</v>
      </c>
      <c r="B27" s="33" t="str">
        <f aca="false">IF($A27="Seçildi",IF('1-Ders Havuzu'!C9="","",'1-Ders Havuzu'!C9),"")</f>
        <v/>
      </c>
      <c r="C27" s="34" t="str">
        <f aca="false">IF($A27="Seçildi",IF('1-Ders Havuzu'!D9="","",'1-Ders Havuzu'!D9),"")</f>
        <v/>
      </c>
      <c r="D27" s="33" t="str">
        <f aca="false">IF($A27="Seçildi",IF('1-Ders Havuzu'!B9="","",'1-Ders Havuzu'!B9),"")</f>
        <v/>
      </c>
      <c r="E27" s="33" t="str">
        <f aca="false">IF($A27="Seçildi",IF('1-Ders Havuzu'!A9="","",'1-Ders Havuzu'!A9),"")</f>
        <v/>
      </c>
      <c r="F27" s="33" t="str">
        <f aca="false">IF($A27="Seçildi",IF('1-Ders Havuzu'!H9="","",'1-Ders Havuzu'!H9),"")</f>
        <v/>
      </c>
      <c r="G27" s="33" t="str">
        <f aca="false">IF($A27="Seçildi",IF('2-Ders-Öğr.Elemanı Eşleştirme'!H9="","",'2-Ders-Öğr.Elemanı Eşleştirme'!H9),"")</f>
        <v/>
      </c>
      <c r="H27" s="35" t="n">
        <v>3</v>
      </c>
      <c r="I27" s="36"/>
      <c r="J27" s="36"/>
      <c r="K27" s="36"/>
      <c r="L27" s="36"/>
      <c r="M27" s="33" t="str">
        <f aca="false">IF($J27="","",MATCH($J27,{"08.00";"09.00";"10.00";"11.00";"12.00";"13.00";"14.00";"15.00";"16.00";"17.00"},0))</f>
        <v/>
      </c>
      <c r="N27" s="33" t="str">
        <f aca="false">IF(OR($M27="",$K27=""),"",$M27+$K27-1)</f>
        <v/>
      </c>
      <c r="O27" s="33" t="str">
        <f aca="false">IF($A27&lt;&gt;"Seçildi","",IF(OR($M27="",$N27=""),"",IF($N27&gt;10,"⚠ Saat Taşıyor","")))</f>
        <v/>
      </c>
      <c r="P27" s="33" t="str">
        <f aca="false">IF($A27&lt;&gt;"Seçildi","",IF(OR($G27="",$I27="",$M27=""),"",IF(SUMPRODUCT(($A$7:$A$456="Seçildi")*($G$7:$G$456=$G27)*($I$7:$I$456=$I27)*(ROW($A$7:$A$456)&lt;&gt;27)*($M$7:$M$456&lt;=$N27)*($N$7:$N$456&gt;=$M27))&gt;0,"⚠ Çakışma","OK")))</f>
        <v/>
      </c>
      <c r="Q27" s="33" t="str">
        <f aca="false">IF($A27&lt;&gt;"Seçildi","",IF(OR($L27="",$I27="",$M27=""),"",IF(SUMPRODUCT(($A$7:$A$456="Seçildi")*($L$7:$L$456=$L27)*($I$7:$I$456=$I27)*(ROW($A$7:$A$456)&lt;&gt;27)*($M$7:$M$456&lt;=$N27)*($N$7:$N$456&gt;=$M27))&gt;0,"⚠ Çakışma","OK")))</f>
        <v/>
      </c>
      <c r="R27" s="33" t="str">
        <f aca="false">IF($A27&lt;&gt;"Seçildi","",IF(OR($D27="",$I27="",$M27=""),"",IF(SUMPRODUCT(($A$7:$A$456="Seçildi")*($D$7:$D$456=$D27)*($I$7:$I$456=$I27)*(ROW($A$7:$A$456)&lt;&gt;27)*($M$7:$M$456&lt;=$N27)*($N$7:$N$456&gt;=$M27))&gt;0,"⚠ Çakışma","OK")))</f>
        <v/>
      </c>
      <c r="S27" s="33"/>
      <c r="T27" s="33" t="str">
        <f aca="false">IF(OR($A27&lt;&gt;"Seçildi",AND($I27="",$J27="")),"",IF(OR($O27&lt;&gt;"",$P27="⚠ Çakışma",$Q27="⚠ Çakışma",$R27="⚠ Çakışma"),"⚠ Kontrol Et","✓ Uygun"))</f>
        <v/>
      </c>
    </row>
    <row r="28" customFormat="false" ht="13.5" hidden="false" customHeight="true" outlineLevel="0" collapsed="false">
      <c r="A28" s="37" t="str">
        <f aca="false">'1-Ders Havuzu'!K10</f>
        <v>Seçilmedi</v>
      </c>
      <c r="B28" s="37" t="str">
        <f aca="false">IF($A28="Seçildi",IF('1-Ders Havuzu'!C10="","",'1-Ders Havuzu'!C10),"")</f>
        <v/>
      </c>
      <c r="C28" s="38" t="str">
        <f aca="false">IF($A28="Seçildi",IF('1-Ders Havuzu'!D10="","",'1-Ders Havuzu'!D10),"")</f>
        <v/>
      </c>
      <c r="D28" s="37" t="str">
        <f aca="false">IF($A28="Seçildi",IF('1-Ders Havuzu'!B10="","",'1-Ders Havuzu'!B10),"")</f>
        <v/>
      </c>
      <c r="E28" s="37" t="str">
        <f aca="false">IF($A28="Seçildi",IF('1-Ders Havuzu'!A10="","",'1-Ders Havuzu'!A10),"")</f>
        <v/>
      </c>
      <c r="F28" s="37" t="str">
        <f aca="false">IF($A28="Seçildi",IF('1-Ders Havuzu'!H10="","",'1-Ders Havuzu'!H10),"")</f>
        <v/>
      </c>
      <c r="G28" s="37" t="str">
        <f aca="false">IF($A28="Seçildi",IF('2-Ders-Öğr.Elemanı Eşleştirme'!H10="","",'2-Ders-Öğr.Elemanı Eşleştirme'!H10),"")</f>
        <v/>
      </c>
      <c r="H28" s="39" t="n">
        <v>1</v>
      </c>
      <c r="I28" s="36"/>
      <c r="J28" s="36"/>
      <c r="K28" s="36"/>
      <c r="L28" s="36"/>
      <c r="M28" s="37" t="str">
        <f aca="false">IF($J28="","",MATCH($J28,{"08.00";"09.00";"10.00";"11.00";"12.00";"13.00";"14.00";"15.00";"16.00";"17.00"},0))</f>
        <v/>
      </c>
      <c r="N28" s="37" t="str">
        <f aca="false">IF(OR($M28="",$K28=""),"",$M28+$K28-1)</f>
        <v/>
      </c>
      <c r="O28" s="37" t="str">
        <f aca="false">IF($A28&lt;&gt;"Seçildi","",IF(OR($M28="",$N28=""),"",IF($N28&gt;10,"⚠ Saat Taşıyor","")))</f>
        <v/>
      </c>
      <c r="P28" s="37" t="str">
        <f aca="false">IF($A28&lt;&gt;"Seçildi","",IF(OR($G28="",$I28="",$M28=""),"",IF(SUMPRODUCT(($A$7:$A$456="Seçildi")*($G$7:$G$456=$G28)*($I$7:$I$456=$I28)*(ROW($A$7:$A$456)&lt;&gt;28)*($M$7:$M$456&lt;=$N28)*($N$7:$N$456&gt;=$M28))&gt;0,"⚠ Çakışma","OK")))</f>
        <v/>
      </c>
      <c r="Q28" s="37" t="str">
        <f aca="false">IF($A28&lt;&gt;"Seçildi","",IF(OR($L28="",$I28="",$M28=""),"",IF(SUMPRODUCT(($A$7:$A$456="Seçildi")*($L$7:$L$456=$L28)*($I$7:$I$456=$I28)*(ROW($A$7:$A$456)&lt;&gt;28)*($M$7:$M$456&lt;=$N28)*($N$7:$N$456&gt;=$M28))&gt;0,"⚠ Çakışma","OK")))</f>
        <v/>
      </c>
      <c r="R28" s="37" t="str">
        <f aca="false">IF($A28&lt;&gt;"Seçildi","",IF(OR($D28="",$I28="",$M28=""),"",IF(SUMPRODUCT(($A$7:$A$456="Seçildi")*($D$7:$D$456=$D28)*($I$7:$I$456=$I28)*(ROW($A$7:$A$456)&lt;&gt;28)*($M$7:$M$456&lt;=$N28)*($N$7:$N$456&gt;=$M28))&gt;0,"⚠ Çakışma","OK")))</f>
        <v/>
      </c>
      <c r="S28" s="37" t="str">
        <f aca="false">IF($A28&lt;&gt;"Seçildi","",IF(SUM($K28,$K29,$K30)&lt;&gt;$F28,"⚠ Dağılım: "&amp;SUM($K28:$K30)&amp;"/"&amp;$F28&amp;" saat","✓ Tamam"))</f>
        <v/>
      </c>
      <c r="T28" s="37" t="str">
        <f aca="false">IF($A28&lt;&gt;"Seçildi","",IF(OR($O28&lt;&gt;"",$P28="⚠ Çakışma",$Q28="⚠ Çakışma",$R28="⚠ Çakışma",LEFT($S28&amp;" ",1)="⚠"),"⚠ Kontrol Et","✓ Uygun"))</f>
        <v/>
      </c>
    </row>
    <row r="29" customFormat="false" ht="13.5" hidden="false" customHeight="true" outlineLevel="0" collapsed="false">
      <c r="A29" s="37" t="str">
        <f aca="false">'1-Ders Havuzu'!K10</f>
        <v>Seçilmedi</v>
      </c>
      <c r="B29" s="37" t="str">
        <f aca="false">IF($A29="Seçildi",IF('1-Ders Havuzu'!C10="","",'1-Ders Havuzu'!C10),"")</f>
        <v/>
      </c>
      <c r="C29" s="38" t="str">
        <f aca="false">IF($A29="Seçildi",IF('1-Ders Havuzu'!D10="","",'1-Ders Havuzu'!D10),"")</f>
        <v/>
      </c>
      <c r="D29" s="37" t="str">
        <f aca="false">IF($A29="Seçildi",IF('1-Ders Havuzu'!B10="","",'1-Ders Havuzu'!B10),"")</f>
        <v/>
      </c>
      <c r="E29" s="37" t="str">
        <f aca="false">IF($A29="Seçildi",IF('1-Ders Havuzu'!A10="","",'1-Ders Havuzu'!A10),"")</f>
        <v/>
      </c>
      <c r="F29" s="37" t="str">
        <f aca="false">IF($A29="Seçildi",IF('1-Ders Havuzu'!H10="","",'1-Ders Havuzu'!H10),"")</f>
        <v/>
      </c>
      <c r="G29" s="37" t="str">
        <f aca="false">IF($A29="Seçildi",IF('2-Ders-Öğr.Elemanı Eşleştirme'!H10="","",'2-Ders-Öğr.Elemanı Eşleştirme'!H10),"")</f>
        <v/>
      </c>
      <c r="H29" s="39" t="n">
        <v>2</v>
      </c>
      <c r="I29" s="36"/>
      <c r="J29" s="36"/>
      <c r="K29" s="36"/>
      <c r="L29" s="36"/>
      <c r="M29" s="37" t="str">
        <f aca="false">IF($J29="","",MATCH($J29,{"08.00";"09.00";"10.00";"11.00";"12.00";"13.00";"14.00";"15.00";"16.00";"17.00"},0))</f>
        <v/>
      </c>
      <c r="N29" s="37" t="str">
        <f aca="false">IF(OR($M29="",$K29=""),"",$M29+$K29-1)</f>
        <v/>
      </c>
      <c r="O29" s="37" t="str">
        <f aca="false">IF($A29&lt;&gt;"Seçildi","",IF(OR($M29="",$N29=""),"",IF($N29&gt;10,"⚠ Saat Taşıyor","")))</f>
        <v/>
      </c>
      <c r="P29" s="37" t="str">
        <f aca="false">IF($A29&lt;&gt;"Seçildi","",IF(OR($G29="",$I29="",$M29=""),"",IF(SUMPRODUCT(($A$7:$A$456="Seçildi")*($G$7:$G$456=$G29)*($I$7:$I$456=$I29)*(ROW($A$7:$A$456)&lt;&gt;29)*($M$7:$M$456&lt;=$N29)*($N$7:$N$456&gt;=$M29))&gt;0,"⚠ Çakışma","OK")))</f>
        <v/>
      </c>
      <c r="Q29" s="37" t="str">
        <f aca="false">IF($A29&lt;&gt;"Seçildi","",IF(OR($L29="",$I29="",$M29=""),"",IF(SUMPRODUCT(($A$7:$A$456="Seçildi")*($L$7:$L$456=$L29)*($I$7:$I$456=$I29)*(ROW($A$7:$A$456)&lt;&gt;29)*($M$7:$M$456&lt;=$N29)*($N$7:$N$456&gt;=$M29))&gt;0,"⚠ Çakışma","OK")))</f>
        <v/>
      </c>
      <c r="R29" s="37" t="str">
        <f aca="false">IF($A29&lt;&gt;"Seçildi","",IF(OR($D29="",$I29="",$M29=""),"",IF(SUMPRODUCT(($A$7:$A$456="Seçildi")*($D$7:$D$456=$D29)*($I$7:$I$456=$I29)*(ROW($A$7:$A$456)&lt;&gt;29)*($M$7:$M$456&lt;=$N29)*($N$7:$N$456&gt;=$M29))&gt;0,"⚠ Çakışma","OK")))</f>
        <v/>
      </c>
      <c r="S29" s="37"/>
      <c r="T29" s="37" t="str">
        <f aca="false">IF(OR($A29&lt;&gt;"Seçildi",AND($I29="",$J29="")),"",IF(OR($O29&lt;&gt;"",$P29="⚠ Çakışma",$Q29="⚠ Çakışma",$R29="⚠ Çakışma"),"⚠ Kontrol Et","✓ Uygun"))</f>
        <v/>
      </c>
    </row>
    <row r="30" customFormat="false" ht="13.5" hidden="false" customHeight="true" outlineLevel="0" collapsed="false">
      <c r="A30" s="37" t="str">
        <f aca="false">'1-Ders Havuzu'!K10</f>
        <v>Seçilmedi</v>
      </c>
      <c r="B30" s="37" t="str">
        <f aca="false">IF($A30="Seçildi",IF('1-Ders Havuzu'!C10="","",'1-Ders Havuzu'!C10),"")</f>
        <v/>
      </c>
      <c r="C30" s="38" t="str">
        <f aca="false">IF($A30="Seçildi",IF('1-Ders Havuzu'!D10="","",'1-Ders Havuzu'!D10),"")</f>
        <v/>
      </c>
      <c r="D30" s="37" t="str">
        <f aca="false">IF($A30="Seçildi",IF('1-Ders Havuzu'!B10="","",'1-Ders Havuzu'!B10),"")</f>
        <v/>
      </c>
      <c r="E30" s="37" t="str">
        <f aca="false">IF($A30="Seçildi",IF('1-Ders Havuzu'!A10="","",'1-Ders Havuzu'!A10),"")</f>
        <v/>
      </c>
      <c r="F30" s="37" t="str">
        <f aca="false">IF($A30="Seçildi",IF('1-Ders Havuzu'!H10="","",'1-Ders Havuzu'!H10),"")</f>
        <v/>
      </c>
      <c r="G30" s="37" t="str">
        <f aca="false">IF($A30="Seçildi",IF('2-Ders-Öğr.Elemanı Eşleştirme'!H10="","",'2-Ders-Öğr.Elemanı Eşleştirme'!H10),"")</f>
        <v/>
      </c>
      <c r="H30" s="39" t="n">
        <v>3</v>
      </c>
      <c r="I30" s="36"/>
      <c r="J30" s="36"/>
      <c r="K30" s="36"/>
      <c r="L30" s="36"/>
      <c r="M30" s="37" t="str">
        <f aca="false">IF($J30="","",MATCH($J30,{"08.00";"09.00";"10.00";"11.00";"12.00";"13.00";"14.00";"15.00";"16.00";"17.00"},0))</f>
        <v/>
      </c>
      <c r="N30" s="37" t="str">
        <f aca="false">IF(OR($M30="",$K30=""),"",$M30+$K30-1)</f>
        <v/>
      </c>
      <c r="O30" s="37" t="str">
        <f aca="false">IF($A30&lt;&gt;"Seçildi","",IF(OR($M30="",$N30=""),"",IF($N30&gt;10,"⚠ Saat Taşıyor","")))</f>
        <v/>
      </c>
      <c r="P30" s="37" t="str">
        <f aca="false">IF($A30&lt;&gt;"Seçildi","",IF(OR($G30="",$I30="",$M30=""),"",IF(SUMPRODUCT(($A$7:$A$456="Seçildi")*($G$7:$G$456=$G30)*($I$7:$I$456=$I30)*(ROW($A$7:$A$456)&lt;&gt;30)*($M$7:$M$456&lt;=$N30)*($N$7:$N$456&gt;=$M30))&gt;0,"⚠ Çakışma","OK")))</f>
        <v/>
      </c>
      <c r="Q30" s="37" t="str">
        <f aca="false">IF($A30&lt;&gt;"Seçildi","",IF(OR($L30="",$I30="",$M30=""),"",IF(SUMPRODUCT(($A$7:$A$456="Seçildi")*($L$7:$L$456=$L30)*($I$7:$I$456=$I30)*(ROW($A$7:$A$456)&lt;&gt;30)*($M$7:$M$456&lt;=$N30)*($N$7:$N$456&gt;=$M30))&gt;0,"⚠ Çakışma","OK")))</f>
        <v/>
      </c>
      <c r="R30" s="37" t="str">
        <f aca="false">IF($A30&lt;&gt;"Seçildi","",IF(OR($D30="",$I30="",$M30=""),"",IF(SUMPRODUCT(($A$7:$A$456="Seçildi")*($D$7:$D$456=$D30)*($I$7:$I$456=$I30)*(ROW($A$7:$A$456)&lt;&gt;30)*($M$7:$M$456&lt;=$N30)*($N$7:$N$456&gt;=$M30))&gt;0,"⚠ Çakışma","OK")))</f>
        <v/>
      </c>
      <c r="S30" s="37"/>
      <c r="T30" s="37" t="str">
        <f aca="false">IF(OR($A30&lt;&gt;"Seçildi",AND($I30="",$J30="")),"",IF(OR($O30&lt;&gt;"",$P30="⚠ Çakışma",$Q30="⚠ Çakışma",$R30="⚠ Çakışma"),"⚠ Kontrol Et","✓ Uygun"))</f>
        <v/>
      </c>
    </row>
    <row r="31" customFormat="false" ht="13.5" hidden="false" customHeight="true" outlineLevel="0" collapsed="false">
      <c r="A31" s="33" t="str">
        <f aca="false">'1-Ders Havuzu'!K11</f>
        <v>Seçilmedi</v>
      </c>
      <c r="B31" s="33" t="str">
        <f aca="false">IF($A31="Seçildi",IF('1-Ders Havuzu'!C11="","",'1-Ders Havuzu'!C11),"")</f>
        <v/>
      </c>
      <c r="C31" s="34" t="str">
        <f aca="false">IF($A31="Seçildi",IF('1-Ders Havuzu'!D11="","",'1-Ders Havuzu'!D11),"")</f>
        <v/>
      </c>
      <c r="D31" s="33" t="str">
        <f aca="false">IF($A31="Seçildi",IF('1-Ders Havuzu'!B11="","",'1-Ders Havuzu'!B11),"")</f>
        <v/>
      </c>
      <c r="E31" s="33" t="str">
        <f aca="false">IF($A31="Seçildi",IF('1-Ders Havuzu'!A11="","",'1-Ders Havuzu'!A11),"")</f>
        <v/>
      </c>
      <c r="F31" s="33" t="str">
        <f aca="false">IF($A31="Seçildi",IF('1-Ders Havuzu'!H11="","",'1-Ders Havuzu'!H11),"")</f>
        <v/>
      </c>
      <c r="G31" s="33" t="str">
        <f aca="false">IF($A31="Seçildi",IF('2-Ders-Öğr.Elemanı Eşleştirme'!H11="","",'2-Ders-Öğr.Elemanı Eşleştirme'!H11),"")</f>
        <v/>
      </c>
      <c r="H31" s="35" t="n">
        <v>1</v>
      </c>
      <c r="I31" s="36"/>
      <c r="J31" s="36"/>
      <c r="K31" s="36"/>
      <c r="L31" s="36"/>
      <c r="M31" s="33" t="str">
        <f aca="false">IF($J31="","",MATCH($J31,{"08.00";"09.00";"10.00";"11.00";"12.00";"13.00";"14.00";"15.00";"16.00";"17.00"},0))</f>
        <v/>
      </c>
      <c r="N31" s="33" t="str">
        <f aca="false">IF(OR($M31="",$K31=""),"",$M31+$K31-1)</f>
        <v/>
      </c>
      <c r="O31" s="33" t="str">
        <f aca="false">IF($A31&lt;&gt;"Seçildi","",IF(OR($M31="",$N31=""),"",IF($N31&gt;10,"⚠ Saat Taşıyor","")))</f>
        <v/>
      </c>
      <c r="P31" s="33" t="str">
        <f aca="false">IF($A31&lt;&gt;"Seçildi","",IF(OR($G31="",$I31="",$M31=""),"",IF(SUMPRODUCT(($A$7:$A$456="Seçildi")*($G$7:$G$456=$G31)*($I$7:$I$456=$I31)*(ROW($A$7:$A$456)&lt;&gt;31)*($M$7:$M$456&lt;=$N31)*($N$7:$N$456&gt;=$M31))&gt;0,"⚠ Çakışma","OK")))</f>
        <v/>
      </c>
      <c r="Q31" s="33" t="str">
        <f aca="false">IF($A31&lt;&gt;"Seçildi","",IF(OR($L31="",$I31="",$M31=""),"",IF(SUMPRODUCT(($A$7:$A$456="Seçildi")*($L$7:$L$456=$L31)*($I$7:$I$456=$I31)*(ROW($A$7:$A$456)&lt;&gt;31)*($M$7:$M$456&lt;=$N31)*($N$7:$N$456&gt;=$M31))&gt;0,"⚠ Çakışma","OK")))</f>
        <v/>
      </c>
      <c r="R31" s="33" t="str">
        <f aca="false">IF($A31&lt;&gt;"Seçildi","",IF(OR($D31="",$I31="",$M31=""),"",IF(SUMPRODUCT(($A$7:$A$456="Seçildi")*($D$7:$D$456=$D31)*($I$7:$I$456=$I31)*(ROW($A$7:$A$456)&lt;&gt;31)*($M$7:$M$456&lt;=$N31)*($N$7:$N$456&gt;=$M31))&gt;0,"⚠ Çakışma","OK")))</f>
        <v/>
      </c>
      <c r="S31" s="33" t="str">
        <f aca="false">IF($A31&lt;&gt;"Seçildi","",IF(SUM($K31,$K32,$K33)&lt;&gt;$F31,"⚠ Dağılım: "&amp;SUM($K31:$K33)&amp;"/"&amp;$F31&amp;" saat","✓ Tamam"))</f>
        <v/>
      </c>
      <c r="T31" s="33" t="str">
        <f aca="false">IF($A31&lt;&gt;"Seçildi","",IF(OR($O31&lt;&gt;"",$P31="⚠ Çakışma",$Q31="⚠ Çakışma",$R31="⚠ Çakışma",LEFT($S31&amp;" ",1)="⚠"),"⚠ Kontrol Et","✓ Uygun"))</f>
        <v/>
      </c>
    </row>
    <row r="32" customFormat="false" ht="13.5" hidden="false" customHeight="true" outlineLevel="0" collapsed="false">
      <c r="A32" s="33" t="str">
        <f aca="false">'1-Ders Havuzu'!K11</f>
        <v>Seçilmedi</v>
      </c>
      <c r="B32" s="33" t="str">
        <f aca="false">IF($A32="Seçildi",IF('1-Ders Havuzu'!C11="","",'1-Ders Havuzu'!C11),"")</f>
        <v/>
      </c>
      <c r="C32" s="34" t="str">
        <f aca="false">IF($A32="Seçildi",IF('1-Ders Havuzu'!D11="","",'1-Ders Havuzu'!D11),"")</f>
        <v/>
      </c>
      <c r="D32" s="33" t="str">
        <f aca="false">IF($A32="Seçildi",IF('1-Ders Havuzu'!B11="","",'1-Ders Havuzu'!B11),"")</f>
        <v/>
      </c>
      <c r="E32" s="33" t="str">
        <f aca="false">IF($A32="Seçildi",IF('1-Ders Havuzu'!A11="","",'1-Ders Havuzu'!A11),"")</f>
        <v/>
      </c>
      <c r="F32" s="33" t="str">
        <f aca="false">IF($A32="Seçildi",IF('1-Ders Havuzu'!H11="","",'1-Ders Havuzu'!H11),"")</f>
        <v/>
      </c>
      <c r="G32" s="33" t="str">
        <f aca="false">IF($A32="Seçildi",IF('2-Ders-Öğr.Elemanı Eşleştirme'!H11="","",'2-Ders-Öğr.Elemanı Eşleştirme'!H11),"")</f>
        <v/>
      </c>
      <c r="H32" s="35" t="n">
        <v>2</v>
      </c>
      <c r="I32" s="36"/>
      <c r="J32" s="36"/>
      <c r="K32" s="36"/>
      <c r="L32" s="36"/>
      <c r="M32" s="33" t="str">
        <f aca="false">IF($J32="","",MATCH($J32,{"08.00";"09.00";"10.00";"11.00";"12.00";"13.00";"14.00";"15.00";"16.00";"17.00"},0))</f>
        <v/>
      </c>
      <c r="N32" s="33" t="str">
        <f aca="false">IF(OR($M32="",$K32=""),"",$M32+$K32-1)</f>
        <v/>
      </c>
      <c r="O32" s="33" t="str">
        <f aca="false">IF($A32&lt;&gt;"Seçildi","",IF(OR($M32="",$N32=""),"",IF($N32&gt;10,"⚠ Saat Taşıyor","")))</f>
        <v/>
      </c>
      <c r="P32" s="33" t="str">
        <f aca="false">IF($A32&lt;&gt;"Seçildi","",IF(OR($G32="",$I32="",$M32=""),"",IF(SUMPRODUCT(($A$7:$A$456="Seçildi")*($G$7:$G$456=$G32)*($I$7:$I$456=$I32)*(ROW($A$7:$A$456)&lt;&gt;32)*($M$7:$M$456&lt;=$N32)*($N$7:$N$456&gt;=$M32))&gt;0,"⚠ Çakışma","OK")))</f>
        <v/>
      </c>
      <c r="Q32" s="33" t="str">
        <f aca="false">IF($A32&lt;&gt;"Seçildi","",IF(OR($L32="",$I32="",$M32=""),"",IF(SUMPRODUCT(($A$7:$A$456="Seçildi")*($L$7:$L$456=$L32)*($I$7:$I$456=$I32)*(ROW($A$7:$A$456)&lt;&gt;32)*($M$7:$M$456&lt;=$N32)*($N$7:$N$456&gt;=$M32))&gt;0,"⚠ Çakışma","OK")))</f>
        <v/>
      </c>
      <c r="R32" s="33" t="str">
        <f aca="false">IF($A32&lt;&gt;"Seçildi","",IF(OR($D32="",$I32="",$M32=""),"",IF(SUMPRODUCT(($A$7:$A$456="Seçildi")*($D$7:$D$456=$D32)*($I$7:$I$456=$I32)*(ROW($A$7:$A$456)&lt;&gt;32)*($M$7:$M$456&lt;=$N32)*($N$7:$N$456&gt;=$M32))&gt;0,"⚠ Çakışma","OK")))</f>
        <v/>
      </c>
      <c r="S32" s="33"/>
      <c r="T32" s="33" t="str">
        <f aca="false">IF(OR($A32&lt;&gt;"Seçildi",AND($I32="",$J32="")),"",IF(OR($O32&lt;&gt;"",$P32="⚠ Çakışma",$Q32="⚠ Çakışma",$R32="⚠ Çakışma"),"⚠ Kontrol Et","✓ Uygun"))</f>
        <v/>
      </c>
    </row>
    <row r="33" customFormat="false" ht="13.5" hidden="false" customHeight="true" outlineLevel="0" collapsed="false">
      <c r="A33" s="33" t="str">
        <f aca="false">'1-Ders Havuzu'!K11</f>
        <v>Seçilmedi</v>
      </c>
      <c r="B33" s="33" t="str">
        <f aca="false">IF($A33="Seçildi",IF('1-Ders Havuzu'!C11="","",'1-Ders Havuzu'!C11),"")</f>
        <v/>
      </c>
      <c r="C33" s="34" t="str">
        <f aca="false">IF($A33="Seçildi",IF('1-Ders Havuzu'!D11="","",'1-Ders Havuzu'!D11),"")</f>
        <v/>
      </c>
      <c r="D33" s="33" t="str">
        <f aca="false">IF($A33="Seçildi",IF('1-Ders Havuzu'!B11="","",'1-Ders Havuzu'!B11),"")</f>
        <v/>
      </c>
      <c r="E33" s="33" t="str">
        <f aca="false">IF($A33="Seçildi",IF('1-Ders Havuzu'!A11="","",'1-Ders Havuzu'!A11),"")</f>
        <v/>
      </c>
      <c r="F33" s="33" t="str">
        <f aca="false">IF($A33="Seçildi",IF('1-Ders Havuzu'!H11="","",'1-Ders Havuzu'!H11),"")</f>
        <v/>
      </c>
      <c r="G33" s="33" t="str">
        <f aca="false">IF($A33="Seçildi",IF('2-Ders-Öğr.Elemanı Eşleştirme'!H11="","",'2-Ders-Öğr.Elemanı Eşleştirme'!H11),"")</f>
        <v/>
      </c>
      <c r="H33" s="35" t="n">
        <v>3</v>
      </c>
      <c r="I33" s="36"/>
      <c r="J33" s="36"/>
      <c r="K33" s="36"/>
      <c r="L33" s="36"/>
      <c r="M33" s="33" t="str">
        <f aca="false">IF($J33="","",MATCH($J33,{"08.00";"09.00";"10.00";"11.00";"12.00";"13.00";"14.00";"15.00";"16.00";"17.00"},0))</f>
        <v/>
      </c>
      <c r="N33" s="33" t="str">
        <f aca="false">IF(OR($M33="",$K33=""),"",$M33+$K33-1)</f>
        <v/>
      </c>
      <c r="O33" s="33" t="str">
        <f aca="false">IF($A33&lt;&gt;"Seçildi","",IF(OR($M33="",$N33=""),"",IF($N33&gt;10,"⚠ Saat Taşıyor","")))</f>
        <v/>
      </c>
      <c r="P33" s="33" t="str">
        <f aca="false">IF($A33&lt;&gt;"Seçildi","",IF(OR($G33="",$I33="",$M33=""),"",IF(SUMPRODUCT(($A$7:$A$456="Seçildi")*($G$7:$G$456=$G33)*($I$7:$I$456=$I33)*(ROW($A$7:$A$456)&lt;&gt;33)*($M$7:$M$456&lt;=$N33)*($N$7:$N$456&gt;=$M33))&gt;0,"⚠ Çakışma","OK")))</f>
        <v/>
      </c>
      <c r="Q33" s="33" t="str">
        <f aca="false">IF($A33&lt;&gt;"Seçildi","",IF(OR($L33="",$I33="",$M33=""),"",IF(SUMPRODUCT(($A$7:$A$456="Seçildi")*($L$7:$L$456=$L33)*($I$7:$I$456=$I33)*(ROW($A$7:$A$456)&lt;&gt;33)*($M$7:$M$456&lt;=$N33)*($N$7:$N$456&gt;=$M33))&gt;0,"⚠ Çakışma","OK")))</f>
        <v/>
      </c>
      <c r="R33" s="33" t="str">
        <f aca="false">IF($A33&lt;&gt;"Seçildi","",IF(OR($D33="",$I33="",$M33=""),"",IF(SUMPRODUCT(($A$7:$A$456="Seçildi")*($D$7:$D$456=$D33)*($I$7:$I$456=$I33)*(ROW($A$7:$A$456)&lt;&gt;33)*($M$7:$M$456&lt;=$N33)*($N$7:$N$456&gt;=$M33))&gt;0,"⚠ Çakışma","OK")))</f>
        <v/>
      </c>
      <c r="S33" s="33"/>
      <c r="T33" s="33" t="str">
        <f aca="false">IF(OR($A33&lt;&gt;"Seçildi",AND($I33="",$J33="")),"",IF(OR($O33&lt;&gt;"",$P33="⚠ Çakışma",$Q33="⚠ Çakışma",$R33="⚠ Çakışma"),"⚠ Kontrol Et","✓ Uygun"))</f>
        <v/>
      </c>
    </row>
    <row r="34" customFormat="false" ht="13.5" hidden="false" customHeight="true" outlineLevel="0" collapsed="false">
      <c r="A34" s="37" t="str">
        <f aca="false">'1-Ders Havuzu'!K12</f>
        <v>Seçilmedi</v>
      </c>
      <c r="B34" s="37" t="str">
        <f aca="false">IF($A34="Seçildi",IF('1-Ders Havuzu'!C12="","",'1-Ders Havuzu'!C12),"")</f>
        <v/>
      </c>
      <c r="C34" s="38" t="str">
        <f aca="false">IF($A34="Seçildi",IF('1-Ders Havuzu'!D12="","",'1-Ders Havuzu'!D12),"")</f>
        <v/>
      </c>
      <c r="D34" s="37" t="str">
        <f aca="false">IF($A34="Seçildi",IF('1-Ders Havuzu'!B12="","",'1-Ders Havuzu'!B12),"")</f>
        <v/>
      </c>
      <c r="E34" s="37" t="str">
        <f aca="false">IF($A34="Seçildi",IF('1-Ders Havuzu'!A12="","",'1-Ders Havuzu'!A12),"")</f>
        <v/>
      </c>
      <c r="F34" s="37" t="str">
        <f aca="false">IF($A34="Seçildi",IF('1-Ders Havuzu'!H12="","",'1-Ders Havuzu'!H12),"")</f>
        <v/>
      </c>
      <c r="G34" s="37" t="str">
        <f aca="false">IF($A34="Seçildi",IF('2-Ders-Öğr.Elemanı Eşleştirme'!H12="","",'2-Ders-Öğr.Elemanı Eşleştirme'!H12),"")</f>
        <v/>
      </c>
      <c r="H34" s="39" t="n">
        <v>1</v>
      </c>
      <c r="I34" s="36"/>
      <c r="J34" s="36"/>
      <c r="K34" s="36"/>
      <c r="L34" s="36"/>
      <c r="M34" s="37" t="str">
        <f aca="false">IF($J34="","",MATCH($J34,{"08.00";"09.00";"10.00";"11.00";"12.00";"13.00";"14.00";"15.00";"16.00";"17.00"},0))</f>
        <v/>
      </c>
      <c r="N34" s="37" t="str">
        <f aca="false">IF(OR($M34="",$K34=""),"",$M34+$K34-1)</f>
        <v/>
      </c>
      <c r="O34" s="37" t="str">
        <f aca="false">IF($A34&lt;&gt;"Seçildi","",IF(OR($M34="",$N34=""),"",IF($N34&gt;10,"⚠ Saat Taşıyor","")))</f>
        <v/>
      </c>
      <c r="P34" s="37" t="str">
        <f aca="false">IF($A34&lt;&gt;"Seçildi","",IF(OR($G34="",$I34="",$M34=""),"",IF(SUMPRODUCT(($A$7:$A$456="Seçildi")*($G$7:$G$456=$G34)*($I$7:$I$456=$I34)*(ROW($A$7:$A$456)&lt;&gt;34)*($M$7:$M$456&lt;=$N34)*($N$7:$N$456&gt;=$M34))&gt;0,"⚠ Çakışma","OK")))</f>
        <v/>
      </c>
      <c r="Q34" s="37" t="str">
        <f aca="false">IF($A34&lt;&gt;"Seçildi","",IF(OR($L34="",$I34="",$M34=""),"",IF(SUMPRODUCT(($A$7:$A$456="Seçildi")*($L$7:$L$456=$L34)*($I$7:$I$456=$I34)*(ROW($A$7:$A$456)&lt;&gt;34)*($M$7:$M$456&lt;=$N34)*($N$7:$N$456&gt;=$M34))&gt;0,"⚠ Çakışma","OK")))</f>
        <v/>
      </c>
      <c r="R34" s="37" t="str">
        <f aca="false">IF($A34&lt;&gt;"Seçildi","",IF(OR($D34="",$I34="",$M34=""),"",IF(SUMPRODUCT(($A$7:$A$456="Seçildi")*($D$7:$D$456=$D34)*($I$7:$I$456=$I34)*(ROW($A$7:$A$456)&lt;&gt;34)*($M$7:$M$456&lt;=$N34)*($N$7:$N$456&gt;=$M34))&gt;0,"⚠ Çakışma","OK")))</f>
        <v/>
      </c>
      <c r="S34" s="37" t="str">
        <f aca="false">IF($A34&lt;&gt;"Seçildi","",IF(SUM($K34,$K35,$K36)&lt;&gt;$F34,"⚠ Dağılım: "&amp;SUM($K34:$K36)&amp;"/"&amp;$F34&amp;" saat","✓ Tamam"))</f>
        <v/>
      </c>
      <c r="T34" s="37" t="str">
        <f aca="false">IF($A34&lt;&gt;"Seçildi","",IF(OR($O34&lt;&gt;"",$P34="⚠ Çakışma",$Q34="⚠ Çakışma",$R34="⚠ Çakışma",LEFT($S34&amp;" ",1)="⚠"),"⚠ Kontrol Et","✓ Uygun"))</f>
        <v/>
      </c>
    </row>
    <row r="35" customFormat="false" ht="13.5" hidden="false" customHeight="true" outlineLevel="0" collapsed="false">
      <c r="A35" s="37" t="str">
        <f aca="false">'1-Ders Havuzu'!K12</f>
        <v>Seçilmedi</v>
      </c>
      <c r="B35" s="37" t="str">
        <f aca="false">IF($A35="Seçildi",IF('1-Ders Havuzu'!C12="","",'1-Ders Havuzu'!C12),"")</f>
        <v/>
      </c>
      <c r="C35" s="38" t="str">
        <f aca="false">IF($A35="Seçildi",IF('1-Ders Havuzu'!D12="","",'1-Ders Havuzu'!D12),"")</f>
        <v/>
      </c>
      <c r="D35" s="37" t="str">
        <f aca="false">IF($A35="Seçildi",IF('1-Ders Havuzu'!B12="","",'1-Ders Havuzu'!B12),"")</f>
        <v/>
      </c>
      <c r="E35" s="37" t="str">
        <f aca="false">IF($A35="Seçildi",IF('1-Ders Havuzu'!A12="","",'1-Ders Havuzu'!A12),"")</f>
        <v/>
      </c>
      <c r="F35" s="37" t="str">
        <f aca="false">IF($A35="Seçildi",IF('1-Ders Havuzu'!H12="","",'1-Ders Havuzu'!H12),"")</f>
        <v/>
      </c>
      <c r="G35" s="37" t="str">
        <f aca="false">IF($A35="Seçildi",IF('2-Ders-Öğr.Elemanı Eşleştirme'!H12="","",'2-Ders-Öğr.Elemanı Eşleştirme'!H12),"")</f>
        <v/>
      </c>
      <c r="H35" s="39" t="n">
        <v>2</v>
      </c>
      <c r="I35" s="36"/>
      <c r="J35" s="36"/>
      <c r="K35" s="36"/>
      <c r="L35" s="36"/>
      <c r="M35" s="37" t="str">
        <f aca="false">IF($J35="","",MATCH($J35,{"08.00";"09.00";"10.00";"11.00";"12.00";"13.00";"14.00";"15.00";"16.00";"17.00"},0))</f>
        <v/>
      </c>
      <c r="N35" s="37" t="str">
        <f aca="false">IF(OR($M35="",$K35=""),"",$M35+$K35-1)</f>
        <v/>
      </c>
      <c r="O35" s="37" t="str">
        <f aca="false">IF($A35&lt;&gt;"Seçildi","",IF(OR($M35="",$N35=""),"",IF($N35&gt;10,"⚠ Saat Taşıyor","")))</f>
        <v/>
      </c>
      <c r="P35" s="37" t="str">
        <f aca="false">IF($A35&lt;&gt;"Seçildi","",IF(OR($G35="",$I35="",$M35=""),"",IF(SUMPRODUCT(($A$7:$A$456="Seçildi")*($G$7:$G$456=$G35)*($I$7:$I$456=$I35)*(ROW($A$7:$A$456)&lt;&gt;35)*($M$7:$M$456&lt;=$N35)*($N$7:$N$456&gt;=$M35))&gt;0,"⚠ Çakışma","OK")))</f>
        <v/>
      </c>
      <c r="Q35" s="37" t="str">
        <f aca="false">IF($A35&lt;&gt;"Seçildi","",IF(OR($L35="",$I35="",$M35=""),"",IF(SUMPRODUCT(($A$7:$A$456="Seçildi")*($L$7:$L$456=$L35)*($I$7:$I$456=$I35)*(ROW($A$7:$A$456)&lt;&gt;35)*($M$7:$M$456&lt;=$N35)*($N$7:$N$456&gt;=$M35))&gt;0,"⚠ Çakışma","OK")))</f>
        <v/>
      </c>
      <c r="R35" s="37" t="str">
        <f aca="false">IF($A35&lt;&gt;"Seçildi","",IF(OR($D35="",$I35="",$M35=""),"",IF(SUMPRODUCT(($A$7:$A$456="Seçildi")*($D$7:$D$456=$D35)*($I$7:$I$456=$I35)*(ROW($A$7:$A$456)&lt;&gt;35)*($M$7:$M$456&lt;=$N35)*($N$7:$N$456&gt;=$M35))&gt;0,"⚠ Çakışma","OK")))</f>
        <v/>
      </c>
      <c r="S35" s="37"/>
      <c r="T35" s="37" t="str">
        <f aca="false">IF(OR($A35&lt;&gt;"Seçildi",AND($I35="",$J35="")),"",IF(OR($O35&lt;&gt;"",$P35="⚠ Çakışma",$Q35="⚠ Çakışma",$R35="⚠ Çakışma"),"⚠ Kontrol Et","✓ Uygun"))</f>
        <v/>
      </c>
    </row>
    <row r="36" customFormat="false" ht="13.5" hidden="false" customHeight="true" outlineLevel="0" collapsed="false">
      <c r="A36" s="37" t="str">
        <f aca="false">'1-Ders Havuzu'!K12</f>
        <v>Seçilmedi</v>
      </c>
      <c r="B36" s="37" t="str">
        <f aca="false">IF($A36="Seçildi",IF('1-Ders Havuzu'!C12="","",'1-Ders Havuzu'!C12),"")</f>
        <v/>
      </c>
      <c r="C36" s="38" t="str">
        <f aca="false">IF($A36="Seçildi",IF('1-Ders Havuzu'!D12="","",'1-Ders Havuzu'!D12),"")</f>
        <v/>
      </c>
      <c r="D36" s="37" t="str">
        <f aca="false">IF($A36="Seçildi",IF('1-Ders Havuzu'!B12="","",'1-Ders Havuzu'!B12),"")</f>
        <v/>
      </c>
      <c r="E36" s="37" t="str">
        <f aca="false">IF($A36="Seçildi",IF('1-Ders Havuzu'!A12="","",'1-Ders Havuzu'!A12),"")</f>
        <v/>
      </c>
      <c r="F36" s="37" t="str">
        <f aca="false">IF($A36="Seçildi",IF('1-Ders Havuzu'!H12="","",'1-Ders Havuzu'!H12),"")</f>
        <v/>
      </c>
      <c r="G36" s="37" t="str">
        <f aca="false">IF($A36="Seçildi",IF('2-Ders-Öğr.Elemanı Eşleştirme'!H12="","",'2-Ders-Öğr.Elemanı Eşleştirme'!H12),"")</f>
        <v/>
      </c>
      <c r="H36" s="39" t="n">
        <v>3</v>
      </c>
      <c r="I36" s="36"/>
      <c r="J36" s="36"/>
      <c r="K36" s="36"/>
      <c r="L36" s="36"/>
      <c r="M36" s="37" t="str">
        <f aca="false">IF($J36="","",MATCH($J36,{"08.00";"09.00";"10.00";"11.00";"12.00";"13.00";"14.00";"15.00";"16.00";"17.00"},0))</f>
        <v/>
      </c>
      <c r="N36" s="37" t="str">
        <f aca="false">IF(OR($M36="",$K36=""),"",$M36+$K36-1)</f>
        <v/>
      </c>
      <c r="O36" s="37" t="str">
        <f aca="false">IF($A36&lt;&gt;"Seçildi","",IF(OR($M36="",$N36=""),"",IF($N36&gt;10,"⚠ Saat Taşıyor","")))</f>
        <v/>
      </c>
      <c r="P36" s="37" t="str">
        <f aca="false">IF($A36&lt;&gt;"Seçildi","",IF(OR($G36="",$I36="",$M36=""),"",IF(SUMPRODUCT(($A$7:$A$456="Seçildi")*($G$7:$G$456=$G36)*($I$7:$I$456=$I36)*(ROW($A$7:$A$456)&lt;&gt;36)*($M$7:$M$456&lt;=$N36)*($N$7:$N$456&gt;=$M36))&gt;0,"⚠ Çakışma","OK")))</f>
        <v/>
      </c>
      <c r="Q36" s="37" t="str">
        <f aca="false">IF($A36&lt;&gt;"Seçildi","",IF(OR($L36="",$I36="",$M36=""),"",IF(SUMPRODUCT(($A$7:$A$456="Seçildi")*($L$7:$L$456=$L36)*($I$7:$I$456=$I36)*(ROW($A$7:$A$456)&lt;&gt;36)*($M$7:$M$456&lt;=$N36)*($N$7:$N$456&gt;=$M36))&gt;0,"⚠ Çakışma","OK")))</f>
        <v/>
      </c>
      <c r="R36" s="37" t="str">
        <f aca="false">IF($A36&lt;&gt;"Seçildi","",IF(OR($D36="",$I36="",$M36=""),"",IF(SUMPRODUCT(($A$7:$A$456="Seçildi")*($D$7:$D$456=$D36)*($I$7:$I$456=$I36)*(ROW($A$7:$A$456)&lt;&gt;36)*($M$7:$M$456&lt;=$N36)*($N$7:$N$456&gt;=$M36))&gt;0,"⚠ Çakışma","OK")))</f>
        <v/>
      </c>
      <c r="S36" s="37"/>
      <c r="T36" s="37" t="str">
        <f aca="false">IF(OR($A36&lt;&gt;"Seçildi",AND($I36="",$J36="")),"",IF(OR($O36&lt;&gt;"",$P36="⚠ Çakışma",$Q36="⚠ Çakışma",$R36="⚠ Çakışma"),"⚠ Kontrol Et","✓ Uygun"))</f>
        <v/>
      </c>
    </row>
    <row r="37" customFormat="false" ht="13.5" hidden="false" customHeight="true" outlineLevel="0" collapsed="false">
      <c r="A37" s="33" t="str">
        <f aca="false">'1-Ders Havuzu'!K13</f>
        <v>Seçilmedi</v>
      </c>
      <c r="B37" s="33" t="str">
        <f aca="false">IF($A37="Seçildi",IF('1-Ders Havuzu'!C13="","",'1-Ders Havuzu'!C13),"")</f>
        <v/>
      </c>
      <c r="C37" s="34" t="str">
        <f aca="false">IF($A37="Seçildi",IF('1-Ders Havuzu'!D13="","",'1-Ders Havuzu'!D13),"")</f>
        <v/>
      </c>
      <c r="D37" s="33" t="str">
        <f aca="false">IF($A37="Seçildi",IF('1-Ders Havuzu'!B13="","",'1-Ders Havuzu'!B13),"")</f>
        <v/>
      </c>
      <c r="E37" s="33" t="str">
        <f aca="false">IF($A37="Seçildi",IF('1-Ders Havuzu'!A13="","",'1-Ders Havuzu'!A13),"")</f>
        <v/>
      </c>
      <c r="F37" s="33" t="str">
        <f aca="false">IF($A37="Seçildi",IF('1-Ders Havuzu'!H13="","",'1-Ders Havuzu'!H13),"")</f>
        <v/>
      </c>
      <c r="G37" s="33" t="str">
        <f aca="false">IF($A37="Seçildi",IF('2-Ders-Öğr.Elemanı Eşleştirme'!H13="","",'2-Ders-Öğr.Elemanı Eşleştirme'!H13),"")</f>
        <v/>
      </c>
      <c r="H37" s="35" t="n">
        <v>1</v>
      </c>
      <c r="I37" s="36"/>
      <c r="J37" s="36"/>
      <c r="K37" s="36"/>
      <c r="L37" s="36"/>
      <c r="M37" s="33" t="str">
        <f aca="false">IF($J37="","",MATCH($J37,{"08.00";"09.00";"10.00";"11.00";"12.00";"13.00";"14.00";"15.00";"16.00";"17.00"},0))</f>
        <v/>
      </c>
      <c r="N37" s="33" t="str">
        <f aca="false">IF(OR($M37="",$K37=""),"",$M37+$K37-1)</f>
        <v/>
      </c>
      <c r="O37" s="33" t="str">
        <f aca="false">IF($A37&lt;&gt;"Seçildi","",IF(OR($M37="",$N37=""),"",IF($N37&gt;10,"⚠ Saat Taşıyor","")))</f>
        <v/>
      </c>
      <c r="P37" s="33" t="str">
        <f aca="false">IF($A37&lt;&gt;"Seçildi","",IF(OR($G37="",$I37="",$M37=""),"",IF(SUMPRODUCT(($A$7:$A$456="Seçildi")*($G$7:$G$456=$G37)*($I$7:$I$456=$I37)*(ROW($A$7:$A$456)&lt;&gt;37)*($M$7:$M$456&lt;=$N37)*($N$7:$N$456&gt;=$M37))&gt;0,"⚠ Çakışma","OK")))</f>
        <v/>
      </c>
      <c r="Q37" s="33" t="str">
        <f aca="false">IF($A37&lt;&gt;"Seçildi","",IF(OR($L37="",$I37="",$M37=""),"",IF(SUMPRODUCT(($A$7:$A$456="Seçildi")*($L$7:$L$456=$L37)*($I$7:$I$456=$I37)*(ROW($A$7:$A$456)&lt;&gt;37)*($M$7:$M$456&lt;=$N37)*($N$7:$N$456&gt;=$M37))&gt;0,"⚠ Çakışma","OK")))</f>
        <v/>
      </c>
      <c r="R37" s="33" t="str">
        <f aca="false">IF($A37&lt;&gt;"Seçildi","",IF(OR($D37="",$I37="",$M37=""),"",IF(SUMPRODUCT(($A$7:$A$456="Seçildi")*($D$7:$D$456=$D37)*($I$7:$I$456=$I37)*(ROW($A$7:$A$456)&lt;&gt;37)*($M$7:$M$456&lt;=$N37)*($N$7:$N$456&gt;=$M37))&gt;0,"⚠ Çakışma","OK")))</f>
        <v/>
      </c>
      <c r="S37" s="33" t="str">
        <f aca="false">IF($A37&lt;&gt;"Seçildi","",IF(SUM($K37,$K38,$K39)&lt;&gt;$F37,"⚠ Dağılım: "&amp;SUM($K37:$K39)&amp;"/"&amp;$F37&amp;" saat","✓ Tamam"))</f>
        <v/>
      </c>
      <c r="T37" s="33" t="str">
        <f aca="false">IF($A37&lt;&gt;"Seçildi","",IF(OR($O37&lt;&gt;"",$P37="⚠ Çakışma",$Q37="⚠ Çakışma",$R37="⚠ Çakışma",LEFT($S37&amp;" ",1)="⚠"),"⚠ Kontrol Et","✓ Uygun"))</f>
        <v/>
      </c>
    </row>
    <row r="38" customFormat="false" ht="13.5" hidden="false" customHeight="true" outlineLevel="0" collapsed="false">
      <c r="A38" s="33" t="str">
        <f aca="false">'1-Ders Havuzu'!K13</f>
        <v>Seçilmedi</v>
      </c>
      <c r="B38" s="33" t="str">
        <f aca="false">IF($A38="Seçildi",IF('1-Ders Havuzu'!C13="","",'1-Ders Havuzu'!C13),"")</f>
        <v/>
      </c>
      <c r="C38" s="34" t="str">
        <f aca="false">IF($A38="Seçildi",IF('1-Ders Havuzu'!D13="","",'1-Ders Havuzu'!D13),"")</f>
        <v/>
      </c>
      <c r="D38" s="33" t="str">
        <f aca="false">IF($A38="Seçildi",IF('1-Ders Havuzu'!B13="","",'1-Ders Havuzu'!B13),"")</f>
        <v/>
      </c>
      <c r="E38" s="33" t="str">
        <f aca="false">IF($A38="Seçildi",IF('1-Ders Havuzu'!A13="","",'1-Ders Havuzu'!A13),"")</f>
        <v/>
      </c>
      <c r="F38" s="33" t="str">
        <f aca="false">IF($A38="Seçildi",IF('1-Ders Havuzu'!H13="","",'1-Ders Havuzu'!H13),"")</f>
        <v/>
      </c>
      <c r="G38" s="33" t="str">
        <f aca="false">IF($A38="Seçildi",IF('2-Ders-Öğr.Elemanı Eşleştirme'!H13="","",'2-Ders-Öğr.Elemanı Eşleştirme'!H13),"")</f>
        <v/>
      </c>
      <c r="H38" s="35" t="n">
        <v>2</v>
      </c>
      <c r="I38" s="36"/>
      <c r="J38" s="36"/>
      <c r="K38" s="36"/>
      <c r="L38" s="36"/>
      <c r="M38" s="33" t="str">
        <f aca="false">IF($J38="","",MATCH($J38,{"08.00";"09.00";"10.00";"11.00";"12.00";"13.00";"14.00";"15.00";"16.00";"17.00"},0))</f>
        <v/>
      </c>
      <c r="N38" s="33" t="str">
        <f aca="false">IF(OR($M38="",$K38=""),"",$M38+$K38-1)</f>
        <v/>
      </c>
      <c r="O38" s="33" t="str">
        <f aca="false">IF($A38&lt;&gt;"Seçildi","",IF(OR($M38="",$N38=""),"",IF($N38&gt;10,"⚠ Saat Taşıyor","")))</f>
        <v/>
      </c>
      <c r="P38" s="33" t="str">
        <f aca="false">IF($A38&lt;&gt;"Seçildi","",IF(OR($G38="",$I38="",$M38=""),"",IF(SUMPRODUCT(($A$7:$A$456="Seçildi")*($G$7:$G$456=$G38)*($I$7:$I$456=$I38)*(ROW($A$7:$A$456)&lt;&gt;38)*($M$7:$M$456&lt;=$N38)*($N$7:$N$456&gt;=$M38))&gt;0,"⚠ Çakışma","OK")))</f>
        <v/>
      </c>
      <c r="Q38" s="33" t="str">
        <f aca="false">IF($A38&lt;&gt;"Seçildi","",IF(OR($L38="",$I38="",$M38=""),"",IF(SUMPRODUCT(($A$7:$A$456="Seçildi")*($L$7:$L$456=$L38)*($I$7:$I$456=$I38)*(ROW($A$7:$A$456)&lt;&gt;38)*($M$7:$M$456&lt;=$N38)*($N$7:$N$456&gt;=$M38))&gt;0,"⚠ Çakışma","OK")))</f>
        <v/>
      </c>
      <c r="R38" s="33" t="str">
        <f aca="false">IF($A38&lt;&gt;"Seçildi","",IF(OR($D38="",$I38="",$M38=""),"",IF(SUMPRODUCT(($A$7:$A$456="Seçildi")*($D$7:$D$456=$D38)*($I$7:$I$456=$I38)*(ROW($A$7:$A$456)&lt;&gt;38)*($M$7:$M$456&lt;=$N38)*($N$7:$N$456&gt;=$M38))&gt;0,"⚠ Çakışma","OK")))</f>
        <v/>
      </c>
      <c r="S38" s="33"/>
      <c r="T38" s="33" t="str">
        <f aca="false">IF(OR($A38&lt;&gt;"Seçildi",AND($I38="",$J38="")),"",IF(OR($O38&lt;&gt;"",$P38="⚠ Çakışma",$Q38="⚠ Çakışma",$R38="⚠ Çakışma"),"⚠ Kontrol Et","✓ Uygun"))</f>
        <v/>
      </c>
    </row>
    <row r="39" customFormat="false" ht="13.5" hidden="false" customHeight="true" outlineLevel="0" collapsed="false">
      <c r="A39" s="33" t="str">
        <f aca="false">'1-Ders Havuzu'!K13</f>
        <v>Seçilmedi</v>
      </c>
      <c r="B39" s="33" t="str">
        <f aca="false">IF($A39="Seçildi",IF('1-Ders Havuzu'!C13="","",'1-Ders Havuzu'!C13),"")</f>
        <v/>
      </c>
      <c r="C39" s="34" t="str">
        <f aca="false">IF($A39="Seçildi",IF('1-Ders Havuzu'!D13="","",'1-Ders Havuzu'!D13),"")</f>
        <v/>
      </c>
      <c r="D39" s="33" t="str">
        <f aca="false">IF($A39="Seçildi",IF('1-Ders Havuzu'!B13="","",'1-Ders Havuzu'!B13),"")</f>
        <v/>
      </c>
      <c r="E39" s="33" t="str">
        <f aca="false">IF($A39="Seçildi",IF('1-Ders Havuzu'!A13="","",'1-Ders Havuzu'!A13),"")</f>
        <v/>
      </c>
      <c r="F39" s="33" t="str">
        <f aca="false">IF($A39="Seçildi",IF('1-Ders Havuzu'!H13="","",'1-Ders Havuzu'!H13),"")</f>
        <v/>
      </c>
      <c r="G39" s="33" t="str">
        <f aca="false">IF($A39="Seçildi",IF('2-Ders-Öğr.Elemanı Eşleştirme'!H13="","",'2-Ders-Öğr.Elemanı Eşleştirme'!H13),"")</f>
        <v/>
      </c>
      <c r="H39" s="35" t="n">
        <v>3</v>
      </c>
      <c r="I39" s="36"/>
      <c r="J39" s="36"/>
      <c r="K39" s="36"/>
      <c r="L39" s="36"/>
      <c r="M39" s="33" t="str">
        <f aca="false">IF($J39="","",MATCH($J39,{"08.00";"09.00";"10.00";"11.00";"12.00";"13.00";"14.00";"15.00";"16.00";"17.00"},0))</f>
        <v/>
      </c>
      <c r="N39" s="33" t="str">
        <f aca="false">IF(OR($M39="",$K39=""),"",$M39+$K39-1)</f>
        <v/>
      </c>
      <c r="O39" s="33" t="str">
        <f aca="false">IF($A39&lt;&gt;"Seçildi","",IF(OR($M39="",$N39=""),"",IF($N39&gt;10,"⚠ Saat Taşıyor","")))</f>
        <v/>
      </c>
      <c r="P39" s="33" t="str">
        <f aca="false">IF($A39&lt;&gt;"Seçildi","",IF(OR($G39="",$I39="",$M39=""),"",IF(SUMPRODUCT(($A$7:$A$456="Seçildi")*($G$7:$G$456=$G39)*($I$7:$I$456=$I39)*(ROW($A$7:$A$456)&lt;&gt;39)*($M$7:$M$456&lt;=$N39)*($N$7:$N$456&gt;=$M39))&gt;0,"⚠ Çakışma","OK")))</f>
        <v/>
      </c>
      <c r="Q39" s="33" t="str">
        <f aca="false">IF($A39&lt;&gt;"Seçildi","",IF(OR($L39="",$I39="",$M39=""),"",IF(SUMPRODUCT(($A$7:$A$456="Seçildi")*($L$7:$L$456=$L39)*($I$7:$I$456=$I39)*(ROW($A$7:$A$456)&lt;&gt;39)*($M$7:$M$456&lt;=$N39)*($N$7:$N$456&gt;=$M39))&gt;0,"⚠ Çakışma","OK")))</f>
        <v/>
      </c>
      <c r="R39" s="33" t="str">
        <f aca="false">IF($A39&lt;&gt;"Seçildi","",IF(OR($D39="",$I39="",$M39=""),"",IF(SUMPRODUCT(($A$7:$A$456="Seçildi")*($D$7:$D$456=$D39)*($I$7:$I$456=$I39)*(ROW($A$7:$A$456)&lt;&gt;39)*($M$7:$M$456&lt;=$N39)*($N$7:$N$456&gt;=$M39))&gt;0,"⚠ Çakışma","OK")))</f>
        <v/>
      </c>
      <c r="S39" s="33"/>
      <c r="T39" s="33" t="str">
        <f aca="false">IF(OR($A39&lt;&gt;"Seçildi",AND($I39="",$J39="")),"",IF(OR($O39&lt;&gt;"",$P39="⚠ Çakışma",$Q39="⚠ Çakışma",$R39="⚠ Çakışma"),"⚠ Kontrol Et","✓ Uygun"))</f>
        <v/>
      </c>
    </row>
    <row r="40" customFormat="false" ht="13.5" hidden="false" customHeight="true" outlineLevel="0" collapsed="false">
      <c r="A40" s="37" t="str">
        <f aca="false">'1-Ders Havuzu'!K14</f>
        <v>Seçilmedi</v>
      </c>
      <c r="B40" s="37" t="str">
        <f aca="false">IF($A40="Seçildi",IF('1-Ders Havuzu'!C14="","",'1-Ders Havuzu'!C14),"")</f>
        <v/>
      </c>
      <c r="C40" s="38" t="str">
        <f aca="false">IF($A40="Seçildi",IF('1-Ders Havuzu'!D14="","",'1-Ders Havuzu'!D14),"")</f>
        <v/>
      </c>
      <c r="D40" s="37" t="str">
        <f aca="false">IF($A40="Seçildi",IF('1-Ders Havuzu'!B14="","",'1-Ders Havuzu'!B14),"")</f>
        <v/>
      </c>
      <c r="E40" s="37" t="str">
        <f aca="false">IF($A40="Seçildi",IF('1-Ders Havuzu'!A14="","",'1-Ders Havuzu'!A14),"")</f>
        <v/>
      </c>
      <c r="F40" s="37" t="str">
        <f aca="false">IF($A40="Seçildi",IF('1-Ders Havuzu'!H14="","",'1-Ders Havuzu'!H14),"")</f>
        <v/>
      </c>
      <c r="G40" s="37" t="str">
        <f aca="false">IF($A40="Seçildi",IF('2-Ders-Öğr.Elemanı Eşleştirme'!H14="","",'2-Ders-Öğr.Elemanı Eşleştirme'!H14),"")</f>
        <v/>
      </c>
      <c r="H40" s="39" t="n">
        <v>1</v>
      </c>
      <c r="I40" s="36"/>
      <c r="J40" s="36"/>
      <c r="K40" s="36"/>
      <c r="L40" s="36"/>
      <c r="M40" s="37" t="str">
        <f aca="false">IF($J40="","",MATCH($J40,{"08.00";"09.00";"10.00";"11.00";"12.00";"13.00";"14.00";"15.00";"16.00";"17.00"},0))</f>
        <v/>
      </c>
      <c r="N40" s="37" t="str">
        <f aca="false">IF(OR($M40="",$K40=""),"",$M40+$K40-1)</f>
        <v/>
      </c>
      <c r="O40" s="37" t="str">
        <f aca="false">IF($A40&lt;&gt;"Seçildi","",IF(OR($M40="",$N40=""),"",IF($N40&gt;10,"⚠ Saat Taşıyor","")))</f>
        <v/>
      </c>
      <c r="P40" s="37" t="str">
        <f aca="false">IF($A40&lt;&gt;"Seçildi","",IF(OR($G40="",$I40="",$M40=""),"",IF(SUMPRODUCT(($A$7:$A$456="Seçildi")*($G$7:$G$456=$G40)*($I$7:$I$456=$I40)*(ROW($A$7:$A$456)&lt;&gt;40)*($M$7:$M$456&lt;=$N40)*($N$7:$N$456&gt;=$M40))&gt;0,"⚠ Çakışma","OK")))</f>
        <v/>
      </c>
      <c r="Q40" s="37" t="str">
        <f aca="false">IF($A40&lt;&gt;"Seçildi","",IF(OR($L40="",$I40="",$M40=""),"",IF(SUMPRODUCT(($A$7:$A$456="Seçildi")*($L$7:$L$456=$L40)*($I$7:$I$456=$I40)*(ROW($A$7:$A$456)&lt;&gt;40)*($M$7:$M$456&lt;=$N40)*($N$7:$N$456&gt;=$M40))&gt;0,"⚠ Çakışma","OK")))</f>
        <v/>
      </c>
      <c r="R40" s="37" t="str">
        <f aca="false">IF($A40&lt;&gt;"Seçildi","",IF(OR($D40="",$I40="",$M40=""),"",IF(SUMPRODUCT(($A$7:$A$456="Seçildi")*($D$7:$D$456=$D40)*($I$7:$I$456=$I40)*(ROW($A$7:$A$456)&lt;&gt;40)*($M$7:$M$456&lt;=$N40)*($N$7:$N$456&gt;=$M40))&gt;0,"⚠ Çakışma","OK")))</f>
        <v/>
      </c>
      <c r="S40" s="37" t="str">
        <f aca="false">IF($A40&lt;&gt;"Seçildi","",IF(SUM($K40,$K41,$K42)&lt;&gt;$F40,"⚠ Dağılım: "&amp;SUM($K40:$K42)&amp;"/"&amp;$F40&amp;" saat","✓ Tamam"))</f>
        <v/>
      </c>
      <c r="T40" s="37" t="str">
        <f aca="false">IF($A40&lt;&gt;"Seçildi","",IF(OR($O40&lt;&gt;"",$P40="⚠ Çakışma",$Q40="⚠ Çakışma",$R40="⚠ Çakışma",LEFT($S40&amp;" ",1)="⚠"),"⚠ Kontrol Et","✓ Uygun"))</f>
        <v/>
      </c>
    </row>
    <row r="41" customFormat="false" ht="13.5" hidden="false" customHeight="true" outlineLevel="0" collapsed="false">
      <c r="A41" s="37" t="str">
        <f aca="false">'1-Ders Havuzu'!K14</f>
        <v>Seçilmedi</v>
      </c>
      <c r="B41" s="37" t="str">
        <f aca="false">IF($A41="Seçildi",IF('1-Ders Havuzu'!C14="","",'1-Ders Havuzu'!C14),"")</f>
        <v/>
      </c>
      <c r="C41" s="38" t="str">
        <f aca="false">IF($A41="Seçildi",IF('1-Ders Havuzu'!D14="","",'1-Ders Havuzu'!D14),"")</f>
        <v/>
      </c>
      <c r="D41" s="37" t="str">
        <f aca="false">IF($A41="Seçildi",IF('1-Ders Havuzu'!B14="","",'1-Ders Havuzu'!B14),"")</f>
        <v/>
      </c>
      <c r="E41" s="37" t="str">
        <f aca="false">IF($A41="Seçildi",IF('1-Ders Havuzu'!A14="","",'1-Ders Havuzu'!A14),"")</f>
        <v/>
      </c>
      <c r="F41" s="37" t="str">
        <f aca="false">IF($A41="Seçildi",IF('1-Ders Havuzu'!H14="","",'1-Ders Havuzu'!H14),"")</f>
        <v/>
      </c>
      <c r="G41" s="37" t="str">
        <f aca="false">IF($A41="Seçildi",IF('2-Ders-Öğr.Elemanı Eşleştirme'!H14="","",'2-Ders-Öğr.Elemanı Eşleştirme'!H14),"")</f>
        <v/>
      </c>
      <c r="H41" s="39" t="n">
        <v>2</v>
      </c>
      <c r="I41" s="36"/>
      <c r="J41" s="36"/>
      <c r="K41" s="36"/>
      <c r="L41" s="36"/>
      <c r="M41" s="37" t="str">
        <f aca="false">IF($J41="","",MATCH($J41,{"08.00";"09.00";"10.00";"11.00";"12.00";"13.00";"14.00";"15.00";"16.00";"17.00"},0))</f>
        <v/>
      </c>
      <c r="N41" s="37" t="str">
        <f aca="false">IF(OR($M41="",$K41=""),"",$M41+$K41-1)</f>
        <v/>
      </c>
      <c r="O41" s="37" t="str">
        <f aca="false">IF($A41&lt;&gt;"Seçildi","",IF(OR($M41="",$N41=""),"",IF($N41&gt;10,"⚠ Saat Taşıyor","")))</f>
        <v/>
      </c>
      <c r="P41" s="37" t="str">
        <f aca="false">IF($A41&lt;&gt;"Seçildi","",IF(OR($G41="",$I41="",$M41=""),"",IF(SUMPRODUCT(($A$7:$A$456="Seçildi")*($G$7:$G$456=$G41)*($I$7:$I$456=$I41)*(ROW($A$7:$A$456)&lt;&gt;41)*($M$7:$M$456&lt;=$N41)*($N$7:$N$456&gt;=$M41))&gt;0,"⚠ Çakışma","OK")))</f>
        <v/>
      </c>
      <c r="Q41" s="37" t="str">
        <f aca="false">IF($A41&lt;&gt;"Seçildi","",IF(OR($L41="",$I41="",$M41=""),"",IF(SUMPRODUCT(($A$7:$A$456="Seçildi")*($L$7:$L$456=$L41)*($I$7:$I$456=$I41)*(ROW($A$7:$A$456)&lt;&gt;41)*($M$7:$M$456&lt;=$N41)*($N$7:$N$456&gt;=$M41))&gt;0,"⚠ Çakışma","OK")))</f>
        <v/>
      </c>
      <c r="R41" s="37" t="str">
        <f aca="false">IF($A41&lt;&gt;"Seçildi","",IF(OR($D41="",$I41="",$M41=""),"",IF(SUMPRODUCT(($A$7:$A$456="Seçildi")*($D$7:$D$456=$D41)*($I$7:$I$456=$I41)*(ROW($A$7:$A$456)&lt;&gt;41)*($M$7:$M$456&lt;=$N41)*($N$7:$N$456&gt;=$M41))&gt;0,"⚠ Çakışma","OK")))</f>
        <v/>
      </c>
      <c r="S41" s="37"/>
      <c r="T41" s="37" t="str">
        <f aca="false">IF(OR($A41&lt;&gt;"Seçildi",AND($I41="",$J41="")),"",IF(OR($O41&lt;&gt;"",$P41="⚠ Çakışma",$Q41="⚠ Çakışma",$R41="⚠ Çakışma"),"⚠ Kontrol Et","✓ Uygun"))</f>
        <v/>
      </c>
    </row>
    <row r="42" customFormat="false" ht="13.5" hidden="false" customHeight="true" outlineLevel="0" collapsed="false">
      <c r="A42" s="37" t="str">
        <f aca="false">'1-Ders Havuzu'!K14</f>
        <v>Seçilmedi</v>
      </c>
      <c r="B42" s="37" t="str">
        <f aca="false">IF($A42="Seçildi",IF('1-Ders Havuzu'!C14="","",'1-Ders Havuzu'!C14),"")</f>
        <v/>
      </c>
      <c r="C42" s="38" t="str">
        <f aca="false">IF($A42="Seçildi",IF('1-Ders Havuzu'!D14="","",'1-Ders Havuzu'!D14),"")</f>
        <v/>
      </c>
      <c r="D42" s="37" t="str">
        <f aca="false">IF($A42="Seçildi",IF('1-Ders Havuzu'!B14="","",'1-Ders Havuzu'!B14),"")</f>
        <v/>
      </c>
      <c r="E42" s="37" t="str">
        <f aca="false">IF($A42="Seçildi",IF('1-Ders Havuzu'!A14="","",'1-Ders Havuzu'!A14),"")</f>
        <v/>
      </c>
      <c r="F42" s="37" t="str">
        <f aca="false">IF($A42="Seçildi",IF('1-Ders Havuzu'!H14="","",'1-Ders Havuzu'!H14),"")</f>
        <v/>
      </c>
      <c r="G42" s="37" t="str">
        <f aca="false">IF($A42="Seçildi",IF('2-Ders-Öğr.Elemanı Eşleştirme'!H14="","",'2-Ders-Öğr.Elemanı Eşleştirme'!H14),"")</f>
        <v/>
      </c>
      <c r="H42" s="39" t="n">
        <v>3</v>
      </c>
      <c r="I42" s="36"/>
      <c r="J42" s="36"/>
      <c r="K42" s="36"/>
      <c r="L42" s="36"/>
      <c r="M42" s="37" t="str">
        <f aca="false">IF($J42="","",MATCH($J42,{"08.00";"09.00";"10.00";"11.00";"12.00";"13.00";"14.00";"15.00";"16.00";"17.00"},0))</f>
        <v/>
      </c>
      <c r="N42" s="37" t="str">
        <f aca="false">IF(OR($M42="",$K42=""),"",$M42+$K42-1)</f>
        <v/>
      </c>
      <c r="O42" s="37" t="str">
        <f aca="false">IF($A42&lt;&gt;"Seçildi","",IF(OR($M42="",$N42=""),"",IF($N42&gt;10,"⚠ Saat Taşıyor","")))</f>
        <v/>
      </c>
      <c r="P42" s="37" t="str">
        <f aca="false">IF($A42&lt;&gt;"Seçildi","",IF(OR($G42="",$I42="",$M42=""),"",IF(SUMPRODUCT(($A$7:$A$456="Seçildi")*($G$7:$G$456=$G42)*($I$7:$I$456=$I42)*(ROW($A$7:$A$456)&lt;&gt;42)*($M$7:$M$456&lt;=$N42)*($N$7:$N$456&gt;=$M42))&gt;0,"⚠ Çakışma","OK")))</f>
        <v/>
      </c>
      <c r="Q42" s="37" t="str">
        <f aca="false">IF($A42&lt;&gt;"Seçildi","",IF(OR($L42="",$I42="",$M42=""),"",IF(SUMPRODUCT(($A$7:$A$456="Seçildi")*($L$7:$L$456=$L42)*($I$7:$I$456=$I42)*(ROW($A$7:$A$456)&lt;&gt;42)*($M$7:$M$456&lt;=$N42)*($N$7:$N$456&gt;=$M42))&gt;0,"⚠ Çakışma","OK")))</f>
        <v/>
      </c>
      <c r="R42" s="37" t="str">
        <f aca="false">IF($A42&lt;&gt;"Seçildi","",IF(OR($D42="",$I42="",$M42=""),"",IF(SUMPRODUCT(($A$7:$A$456="Seçildi")*($D$7:$D$456=$D42)*($I$7:$I$456=$I42)*(ROW($A$7:$A$456)&lt;&gt;42)*($M$7:$M$456&lt;=$N42)*($N$7:$N$456&gt;=$M42))&gt;0,"⚠ Çakışma","OK")))</f>
        <v/>
      </c>
      <c r="S42" s="37"/>
      <c r="T42" s="37" t="str">
        <f aca="false">IF(OR($A42&lt;&gt;"Seçildi",AND($I42="",$J42="")),"",IF(OR($O42&lt;&gt;"",$P42="⚠ Çakışma",$Q42="⚠ Çakışma",$R42="⚠ Çakışma"),"⚠ Kontrol Et","✓ Uygun"))</f>
        <v/>
      </c>
    </row>
    <row r="43" customFormat="false" ht="13.5" hidden="false" customHeight="true" outlineLevel="0" collapsed="false">
      <c r="A43" s="33" t="str">
        <f aca="false">'1-Ders Havuzu'!K15</f>
        <v>Seçilmedi</v>
      </c>
      <c r="B43" s="33" t="str">
        <f aca="false">IF($A43="Seçildi",IF('1-Ders Havuzu'!C15="","",'1-Ders Havuzu'!C15),"")</f>
        <v/>
      </c>
      <c r="C43" s="34" t="str">
        <f aca="false">IF($A43="Seçildi",IF('1-Ders Havuzu'!D15="","",'1-Ders Havuzu'!D15),"")</f>
        <v/>
      </c>
      <c r="D43" s="33" t="str">
        <f aca="false">IF($A43="Seçildi",IF('1-Ders Havuzu'!B15="","",'1-Ders Havuzu'!B15),"")</f>
        <v/>
      </c>
      <c r="E43" s="33" t="str">
        <f aca="false">IF($A43="Seçildi",IF('1-Ders Havuzu'!A15="","",'1-Ders Havuzu'!A15),"")</f>
        <v/>
      </c>
      <c r="F43" s="33" t="str">
        <f aca="false">IF($A43="Seçildi",IF('1-Ders Havuzu'!H15="","",'1-Ders Havuzu'!H15),"")</f>
        <v/>
      </c>
      <c r="G43" s="33" t="str">
        <f aca="false">IF($A43="Seçildi",IF('2-Ders-Öğr.Elemanı Eşleştirme'!H15="","",'2-Ders-Öğr.Elemanı Eşleştirme'!H15),"")</f>
        <v/>
      </c>
      <c r="H43" s="35" t="n">
        <v>1</v>
      </c>
      <c r="I43" s="36"/>
      <c r="J43" s="36"/>
      <c r="K43" s="36"/>
      <c r="L43" s="36"/>
      <c r="M43" s="33" t="str">
        <f aca="false">IF($J43="","",MATCH($J43,{"08.00";"09.00";"10.00";"11.00";"12.00";"13.00";"14.00";"15.00";"16.00";"17.00"},0))</f>
        <v/>
      </c>
      <c r="N43" s="33" t="str">
        <f aca="false">IF(OR($M43="",$K43=""),"",$M43+$K43-1)</f>
        <v/>
      </c>
      <c r="O43" s="33" t="str">
        <f aca="false">IF($A43&lt;&gt;"Seçildi","",IF(OR($M43="",$N43=""),"",IF($N43&gt;10,"⚠ Saat Taşıyor","")))</f>
        <v/>
      </c>
      <c r="P43" s="33" t="str">
        <f aca="false">IF($A43&lt;&gt;"Seçildi","",IF(OR($G43="",$I43="",$M43=""),"",IF(SUMPRODUCT(($A$7:$A$456="Seçildi")*($G$7:$G$456=$G43)*($I$7:$I$456=$I43)*(ROW($A$7:$A$456)&lt;&gt;43)*($M$7:$M$456&lt;=$N43)*($N$7:$N$456&gt;=$M43))&gt;0,"⚠ Çakışma","OK")))</f>
        <v/>
      </c>
      <c r="Q43" s="33" t="str">
        <f aca="false">IF($A43&lt;&gt;"Seçildi","",IF(OR($L43="",$I43="",$M43=""),"",IF(SUMPRODUCT(($A$7:$A$456="Seçildi")*($L$7:$L$456=$L43)*($I$7:$I$456=$I43)*(ROW($A$7:$A$456)&lt;&gt;43)*($M$7:$M$456&lt;=$N43)*($N$7:$N$456&gt;=$M43))&gt;0,"⚠ Çakışma","OK")))</f>
        <v/>
      </c>
      <c r="R43" s="33" t="str">
        <f aca="false">IF($A43&lt;&gt;"Seçildi","",IF(OR($D43="",$I43="",$M43=""),"",IF(SUMPRODUCT(($A$7:$A$456="Seçildi")*($D$7:$D$456=$D43)*($I$7:$I$456=$I43)*(ROW($A$7:$A$456)&lt;&gt;43)*($M$7:$M$456&lt;=$N43)*($N$7:$N$456&gt;=$M43))&gt;0,"⚠ Çakışma","OK")))</f>
        <v/>
      </c>
      <c r="S43" s="33" t="str">
        <f aca="false">IF($A43&lt;&gt;"Seçildi","",IF(SUM($K43,$K44,$K45)&lt;&gt;$F43,"⚠ Dağılım: "&amp;SUM($K43:$K45)&amp;"/"&amp;$F43&amp;" saat","✓ Tamam"))</f>
        <v/>
      </c>
      <c r="T43" s="33" t="str">
        <f aca="false">IF($A43&lt;&gt;"Seçildi","",IF(OR($O43&lt;&gt;"",$P43="⚠ Çakışma",$Q43="⚠ Çakışma",$R43="⚠ Çakışma",LEFT($S43&amp;" ",1)="⚠"),"⚠ Kontrol Et","✓ Uygun"))</f>
        <v/>
      </c>
    </row>
    <row r="44" customFormat="false" ht="13.5" hidden="false" customHeight="true" outlineLevel="0" collapsed="false">
      <c r="A44" s="33" t="str">
        <f aca="false">'1-Ders Havuzu'!K15</f>
        <v>Seçilmedi</v>
      </c>
      <c r="B44" s="33" t="str">
        <f aca="false">IF($A44="Seçildi",IF('1-Ders Havuzu'!C15="","",'1-Ders Havuzu'!C15),"")</f>
        <v/>
      </c>
      <c r="C44" s="34" t="str">
        <f aca="false">IF($A44="Seçildi",IF('1-Ders Havuzu'!D15="","",'1-Ders Havuzu'!D15),"")</f>
        <v/>
      </c>
      <c r="D44" s="33" t="str">
        <f aca="false">IF($A44="Seçildi",IF('1-Ders Havuzu'!B15="","",'1-Ders Havuzu'!B15),"")</f>
        <v/>
      </c>
      <c r="E44" s="33" t="str">
        <f aca="false">IF($A44="Seçildi",IF('1-Ders Havuzu'!A15="","",'1-Ders Havuzu'!A15),"")</f>
        <v/>
      </c>
      <c r="F44" s="33" t="str">
        <f aca="false">IF($A44="Seçildi",IF('1-Ders Havuzu'!H15="","",'1-Ders Havuzu'!H15),"")</f>
        <v/>
      </c>
      <c r="G44" s="33" t="str">
        <f aca="false">IF($A44="Seçildi",IF('2-Ders-Öğr.Elemanı Eşleştirme'!H15="","",'2-Ders-Öğr.Elemanı Eşleştirme'!H15),"")</f>
        <v/>
      </c>
      <c r="H44" s="35" t="n">
        <v>2</v>
      </c>
      <c r="I44" s="36"/>
      <c r="J44" s="36"/>
      <c r="K44" s="36"/>
      <c r="L44" s="36"/>
      <c r="M44" s="33" t="str">
        <f aca="false">IF($J44="","",MATCH($J44,{"08.00";"09.00";"10.00";"11.00";"12.00";"13.00";"14.00";"15.00";"16.00";"17.00"},0))</f>
        <v/>
      </c>
      <c r="N44" s="33" t="str">
        <f aca="false">IF(OR($M44="",$K44=""),"",$M44+$K44-1)</f>
        <v/>
      </c>
      <c r="O44" s="33" t="str">
        <f aca="false">IF($A44&lt;&gt;"Seçildi","",IF(OR($M44="",$N44=""),"",IF($N44&gt;10,"⚠ Saat Taşıyor","")))</f>
        <v/>
      </c>
      <c r="P44" s="33" t="str">
        <f aca="false">IF($A44&lt;&gt;"Seçildi","",IF(OR($G44="",$I44="",$M44=""),"",IF(SUMPRODUCT(($A$7:$A$456="Seçildi")*($G$7:$G$456=$G44)*($I$7:$I$456=$I44)*(ROW($A$7:$A$456)&lt;&gt;44)*($M$7:$M$456&lt;=$N44)*($N$7:$N$456&gt;=$M44))&gt;0,"⚠ Çakışma","OK")))</f>
        <v/>
      </c>
      <c r="Q44" s="33" t="str">
        <f aca="false">IF($A44&lt;&gt;"Seçildi","",IF(OR($L44="",$I44="",$M44=""),"",IF(SUMPRODUCT(($A$7:$A$456="Seçildi")*($L$7:$L$456=$L44)*($I$7:$I$456=$I44)*(ROW($A$7:$A$456)&lt;&gt;44)*($M$7:$M$456&lt;=$N44)*($N$7:$N$456&gt;=$M44))&gt;0,"⚠ Çakışma","OK")))</f>
        <v/>
      </c>
      <c r="R44" s="33" t="str">
        <f aca="false">IF($A44&lt;&gt;"Seçildi","",IF(OR($D44="",$I44="",$M44=""),"",IF(SUMPRODUCT(($A$7:$A$456="Seçildi")*($D$7:$D$456=$D44)*($I$7:$I$456=$I44)*(ROW($A$7:$A$456)&lt;&gt;44)*($M$7:$M$456&lt;=$N44)*($N$7:$N$456&gt;=$M44))&gt;0,"⚠ Çakışma","OK")))</f>
        <v/>
      </c>
      <c r="S44" s="33"/>
      <c r="T44" s="33" t="str">
        <f aca="false">IF(OR($A44&lt;&gt;"Seçildi",AND($I44="",$J44="")),"",IF(OR($O44&lt;&gt;"",$P44="⚠ Çakışma",$Q44="⚠ Çakışma",$R44="⚠ Çakışma"),"⚠ Kontrol Et","✓ Uygun"))</f>
        <v/>
      </c>
    </row>
    <row r="45" customFormat="false" ht="13.5" hidden="false" customHeight="true" outlineLevel="0" collapsed="false">
      <c r="A45" s="33" t="str">
        <f aca="false">'1-Ders Havuzu'!K15</f>
        <v>Seçilmedi</v>
      </c>
      <c r="B45" s="33" t="str">
        <f aca="false">IF($A45="Seçildi",IF('1-Ders Havuzu'!C15="","",'1-Ders Havuzu'!C15),"")</f>
        <v/>
      </c>
      <c r="C45" s="34" t="str">
        <f aca="false">IF($A45="Seçildi",IF('1-Ders Havuzu'!D15="","",'1-Ders Havuzu'!D15),"")</f>
        <v/>
      </c>
      <c r="D45" s="33" t="str">
        <f aca="false">IF($A45="Seçildi",IF('1-Ders Havuzu'!B15="","",'1-Ders Havuzu'!B15),"")</f>
        <v/>
      </c>
      <c r="E45" s="33" t="str">
        <f aca="false">IF($A45="Seçildi",IF('1-Ders Havuzu'!A15="","",'1-Ders Havuzu'!A15),"")</f>
        <v/>
      </c>
      <c r="F45" s="33" t="str">
        <f aca="false">IF($A45="Seçildi",IF('1-Ders Havuzu'!H15="","",'1-Ders Havuzu'!H15),"")</f>
        <v/>
      </c>
      <c r="G45" s="33" t="str">
        <f aca="false">IF($A45="Seçildi",IF('2-Ders-Öğr.Elemanı Eşleştirme'!H15="","",'2-Ders-Öğr.Elemanı Eşleştirme'!H15),"")</f>
        <v/>
      </c>
      <c r="H45" s="35" t="n">
        <v>3</v>
      </c>
      <c r="I45" s="36"/>
      <c r="J45" s="36"/>
      <c r="K45" s="36"/>
      <c r="L45" s="36"/>
      <c r="M45" s="33" t="str">
        <f aca="false">IF($J45="","",MATCH($J45,{"08.00";"09.00";"10.00";"11.00";"12.00";"13.00";"14.00";"15.00";"16.00";"17.00"},0))</f>
        <v/>
      </c>
      <c r="N45" s="33" t="str">
        <f aca="false">IF(OR($M45="",$K45=""),"",$M45+$K45-1)</f>
        <v/>
      </c>
      <c r="O45" s="33" t="str">
        <f aca="false">IF($A45&lt;&gt;"Seçildi","",IF(OR($M45="",$N45=""),"",IF($N45&gt;10,"⚠ Saat Taşıyor","")))</f>
        <v/>
      </c>
      <c r="P45" s="33" t="str">
        <f aca="false">IF($A45&lt;&gt;"Seçildi","",IF(OR($G45="",$I45="",$M45=""),"",IF(SUMPRODUCT(($A$7:$A$456="Seçildi")*($G$7:$G$456=$G45)*($I$7:$I$456=$I45)*(ROW($A$7:$A$456)&lt;&gt;45)*($M$7:$M$456&lt;=$N45)*($N$7:$N$456&gt;=$M45))&gt;0,"⚠ Çakışma","OK")))</f>
        <v/>
      </c>
      <c r="Q45" s="33" t="str">
        <f aca="false">IF($A45&lt;&gt;"Seçildi","",IF(OR($L45="",$I45="",$M45=""),"",IF(SUMPRODUCT(($A$7:$A$456="Seçildi")*($L$7:$L$456=$L45)*($I$7:$I$456=$I45)*(ROW($A$7:$A$456)&lt;&gt;45)*($M$7:$M$456&lt;=$N45)*($N$7:$N$456&gt;=$M45))&gt;0,"⚠ Çakışma","OK")))</f>
        <v/>
      </c>
      <c r="R45" s="33" t="str">
        <f aca="false">IF($A45&lt;&gt;"Seçildi","",IF(OR($D45="",$I45="",$M45=""),"",IF(SUMPRODUCT(($A$7:$A$456="Seçildi")*($D$7:$D$456=$D45)*($I$7:$I$456=$I45)*(ROW($A$7:$A$456)&lt;&gt;45)*($M$7:$M$456&lt;=$N45)*($N$7:$N$456&gt;=$M45))&gt;0,"⚠ Çakışma","OK")))</f>
        <v/>
      </c>
      <c r="S45" s="33"/>
      <c r="T45" s="33" t="str">
        <f aca="false">IF(OR($A45&lt;&gt;"Seçildi",AND($I45="",$J45="")),"",IF(OR($O45&lt;&gt;"",$P45="⚠ Çakışma",$Q45="⚠ Çakışma",$R45="⚠ Çakışma"),"⚠ Kontrol Et","✓ Uygun"))</f>
        <v/>
      </c>
    </row>
    <row r="46" customFormat="false" ht="13.5" hidden="false" customHeight="true" outlineLevel="0" collapsed="false">
      <c r="A46" s="37" t="str">
        <f aca="false">'1-Ders Havuzu'!K16</f>
        <v>Seçilmedi</v>
      </c>
      <c r="B46" s="37" t="str">
        <f aca="false">IF($A46="Seçildi",IF('1-Ders Havuzu'!C16="","",'1-Ders Havuzu'!C16),"")</f>
        <v/>
      </c>
      <c r="C46" s="38" t="str">
        <f aca="false">IF($A46="Seçildi",IF('1-Ders Havuzu'!D16="","",'1-Ders Havuzu'!D16),"")</f>
        <v/>
      </c>
      <c r="D46" s="37" t="str">
        <f aca="false">IF($A46="Seçildi",IF('1-Ders Havuzu'!B16="","",'1-Ders Havuzu'!B16),"")</f>
        <v/>
      </c>
      <c r="E46" s="37" t="str">
        <f aca="false">IF($A46="Seçildi",IF('1-Ders Havuzu'!A16="","",'1-Ders Havuzu'!A16),"")</f>
        <v/>
      </c>
      <c r="F46" s="37" t="str">
        <f aca="false">IF($A46="Seçildi",IF('1-Ders Havuzu'!H16="","",'1-Ders Havuzu'!H16),"")</f>
        <v/>
      </c>
      <c r="G46" s="37" t="str">
        <f aca="false">IF($A46="Seçildi",IF('2-Ders-Öğr.Elemanı Eşleştirme'!H16="","",'2-Ders-Öğr.Elemanı Eşleştirme'!H16),"")</f>
        <v/>
      </c>
      <c r="H46" s="39" t="n">
        <v>1</v>
      </c>
      <c r="I46" s="36"/>
      <c r="J46" s="36"/>
      <c r="K46" s="36"/>
      <c r="L46" s="36"/>
      <c r="M46" s="37" t="str">
        <f aca="false">IF($J46="","",MATCH($J46,{"08.00";"09.00";"10.00";"11.00";"12.00";"13.00";"14.00";"15.00";"16.00";"17.00"},0))</f>
        <v/>
      </c>
      <c r="N46" s="37" t="str">
        <f aca="false">IF(OR($M46="",$K46=""),"",$M46+$K46-1)</f>
        <v/>
      </c>
      <c r="O46" s="37" t="str">
        <f aca="false">IF($A46&lt;&gt;"Seçildi","",IF(OR($M46="",$N46=""),"",IF($N46&gt;10,"⚠ Saat Taşıyor","")))</f>
        <v/>
      </c>
      <c r="P46" s="37" t="str">
        <f aca="false">IF($A46&lt;&gt;"Seçildi","",IF(OR($G46="",$I46="",$M46=""),"",IF(SUMPRODUCT(($A$7:$A$456="Seçildi")*($G$7:$G$456=$G46)*($I$7:$I$456=$I46)*(ROW($A$7:$A$456)&lt;&gt;46)*($M$7:$M$456&lt;=$N46)*($N$7:$N$456&gt;=$M46))&gt;0,"⚠ Çakışma","OK")))</f>
        <v/>
      </c>
      <c r="Q46" s="37" t="str">
        <f aca="false">IF($A46&lt;&gt;"Seçildi","",IF(OR($L46="",$I46="",$M46=""),"",IF(SUMPRODUCT(($A$7:$A$456="Seçildi")*($L$7:$L$456=$L46)*($I$7:$I$456=$I46)*(ROW($A$7:$A$456)&lt;&gt;46)*($M$7:$M$456&lt;=$N46)*($N$7:$N$456&gt;=$M46))&gt;0,"⚠ Çakışma","OK")))</f>
        <v/>
      </c>
      <c r="R46" s="37" t="str">
        <f aca="false">IF($A46&lt;&gt;"Seçildi","",IF(OR($D46="",$I46="",$M46=""),"",IF(SUMPRODUCT(($A$7:$A$456="Seçildi")*($D$7:$D$456=$D46)*($I$7:$I$456=$I46)*(ROW($A$7:$A$456)&lt;&gt;46)*($M$7:$M$456&lt;=$N46)*($N$7:$N$456&gt;=$M46))&gt;0,"⚠ Çakışma","OK")))</f>
        <v/>
      </c>
      <c r="S46" s="37" t="str">
        <f aca="false">IF($A46&lt;&gt;"Seçildi","",IF(SUM($K46,$K47,$K48)&lt;&gt;$F46,"⚠ Dağılım: "&amp;SUM($K46:$K48)&amp;"/"&amp;$F46&amp;" saat","✓ Tamam"))</f>
        <v/>
      </c>
      <c r="T46" s="37" t="str">
        <f aca="false">IF($A46&lt;&gt;"Seçildi","",IF(OR($O46&lt;&gt;"",$P46="⚠ Çakışma",$Q46="⚠ Çakışma",$R46="⚠ Çakışma",LEFT($S46&amp;" ",1)="⚠"),"⚠ Kontrol Et","✓ Uygun"))</f>
        <v/>
      </c>
    </row>
    <row r="47" customFormat="false" ht="13.5" hidden="false" customHeight="true" outlineLevel="0" collapsed="false">
      <c r="A47" s="37" t="str">
        <f aca="false">'1-Ders Havuzu'!K16</f>
        <v>Seçilmedi</v>
      </c>
      <c r="B47" s="37" t="str">
        <f aca="false">IF($A47="Seçildi",IF('1-Ders Havuzu'!C16="","",'1-Ders Havuzu'!C16),"")</f>
        <v/>
      </c>
      <c r="C47" s="38" t="str">
        <f aca="false">IF($A47="Seçildi",IF('1-Ders Havuzu'!D16="","",'1-Ders Havuzu'!D16),"")</f>
        <v/>
      </c>
      <c r="D47" s="37" t="str">
        <f aca="false">IF($A47="Seçildi",IF('1-Ders Havuzu'!B16="","",'1-Ders Havuzu'!B16),"")</f>
        <v/>
      </c>
      <c r="E47" s="37" t="str">
        <f aca="false">IF($A47="Seçildi",IF('1-Ders Havuzu'!A16="","",'1-Ders Havuzu'!A16),"")</f>
        <v/>
      </c>
      <c r="F47" s="37" t="str">
        <f aca="false">IF($A47="Seçildi",IF('1-Ders Havuzu'!H16="","",'1-Ders Havuzu'!H16),"")</f>
        <v/>
      </c>
      <c r="G47" s="37" t="str">
        <f aca="false">IF($A47="Seçildi",IF('2-Ders-Öğr.Elemanı Eşleştirme'!H16="","",'2-Ders-Öğr.Elemanı Eşleştirme'!H16),"")</f>
        <v/>
      </c>
      <c r="H47" s="39" t="n">
        <v>2</v>
      </c>
      <c r="I47" s="36"/>
      <c r="J47" s="36"/>
      <c r="K47" s="36"/>
      <c r="L47" s="36"/>
      <c r="M47" s="37" t="str">
        <f aca="false">IF($J47="","",MATCH($J47,{"08.00";"09.00";"10.00";"11.00";"12.00";"13.00";"14.00";"15.00";"16.00";"17.00"},0))</f>
        <v/>
      </c>
      <c r="N47" s="37" t="str">
        <f aca="false">IF(OR($M47="",$K47=""),"",$M47+$K47-1)</f>
        <v/>
      </c>
      <c r="O47" s="37" t="str">
        <f aca="false">IF($A47&lt;&gt;"Seçildi","",IF(OR($M47="",$N47=""),"",IF($N47&gt;10,"⚠ Saat Taşıyor","")))</f>
        <v/>
      </c>
      <c r="P47" s="37" t="str">
        <f aca="false">IF($A47&lt;&gt;"Seçildi","",IF(OR($G47="",$I47="",$M47=""),"",IF(SUMPRODUCT(($A$7:$A$456="Seçildi")*($G$7:$G$456=$G47)*($I$7:$I$456=$I47)*(ROW($A$7:$A$456)&lt;&gt;47)*($M$7:$M$456&lt;=$N47)*($N$7:$N$456&gt;=$M47))&gt;0,"⚠ Çakışma","OK")))</f>
        <v/>
      </c>
      <c r="Q47" s="37" t="str">
        <f aca="false">IF($A47&lt;&gt;"Seçildi","",IF(OR($L47="",$I47="",$M47=""),"",IF(SUMPRODUCT(($A$7:$A$456="Seçildi")*($L$7:$L$456=$L47)*($I$7:$I$456=$I47)*(ROW($A$7:$A$456)&lt;&gt;47)*($M$7:$M$456&lt;=$N47)*($N$7:$N$456&gt;=$M47))&gt;0,"⚠ Çakışma","OK")))</f>
        <v/>
      </c>
      <c r="R47" s="37" t="str">
        <f aca="false">IF($A47&lt;&gt;"Seçildi","",IF(OR($D47="",$I47="",$M47=""),"",IF(SUMPRODUCT(($A$7:$A$456="Seçildi")*($D$7:$D$456=$D47)*($I$7:$I$456=$I47)*(ROW($A$7:$A$456)&lt;&gt;47)*($M$7:$M$456&lt;=$N47)*($N$7:$N$456&gt;=$M47))&gt;0,"⚠ Çakışma","OK")))</f>
        <v/>
      </c>
      <c r="S47" s="37"/>
      <c r="T47" s="37" t="str">
        <f aca="false">IF(OR($A47&lt;&gt;"Seçildi",AND($I47="",$J47="")),"",IF(OR($O47&lt;&gt;"",$P47="⚠ Çakışma",$Q47="⚠ Çakışma",$R47="⚠ Çakışma"),"⚠ Kontrol Et","✓ Uygun"))</f>
        <v/>
      </c>
    </row>
    <row r="48" customFormat="false" ht="13.5" hidden="false" customHeight="true" outlineLevel="0" collapsed="false">
      <c r="A48" s="37" t="str">
        <f aca="false">'1-Ders Havuzu'!K16</f>
        <v>Seçilmedi</v>
      </c>
      <c r="B48" s="37" t="str">
        <f aca="false">IF($A48="Seçildi",IF('1-Ders Havuzu'!C16="","",'1-Ders Havuzu'!C16),"")</f>
        <v/>
      </c>
      <c r="C48" s="38" t="str">
        <f aca="false">IF($A48="Seçildi",IF('1-Ders Havuzu'!D16="","",'1-Ders Havuzu'!D16),"")</f>
        <v/>
      </c>
      <c r="D48" s="37" t="str">
        <f aca="false">IF($A48="Seçildi",IF('1-Ders Havuzu'!B16="","",'1-Ders Havuzu'!B16),"")</f>
        <v/>
      </c>
      <c r="E48" s="37" t="str">
        <f aca="false">IF($A48="Seçildi",IF('1-Ders Havuzu'!A16="","",'1-Ders Havuzu'!A16),"")</f>
        <v/>
      </c>
      <c r="F48" s="37" t="str">
        <f aca="false">IF($A48="Seçildi",IF('1-Ders Havuzu'!H16="","",'1-Ders Havuzu'!H16),"")</f>
        <v/>
      </c>
      <c r="G48" s="37" t="str">
        <f aca="false">IF($A48="Seçildi",IF('2-Ders-Öğr.Elemanı Eşleştirme'!H16="","",'2-Ders-Öğr.Elemanı Eşleştirme'!H16),"")</f>
        <v/>
      </c>
      <c r="H48" s="39" t="n">
        <v>3</v>
      </c>
      <c r="I48" s="36"/>
      <c r="J48" s="36"/>
      <c r="K48" s="36"/>
      <c r="L48" s="36"/>
      <c r="M48" s="37" t="str">
        <f aca="false">IF($J48="","",MATCH($J48,{"08.00";"09.00";"10.00";"11.00";"12.00";"13.00";"14.00";"15.00";"16.00";"17.00"},0))</f>
        <v/>
      </c>
      <c r="N48" s="37" t="str">
        <f aca="false">IF(OR($M48="",$K48=""),"",$M48+$K48-1)</f>
        <v/>
      </c>
      <c r="O48" s="37" t="str">
        <f aca="false">IF($A48&lt;&gt;"Seçildi","",IF(OR($M48="",$N48=""),"",IF($N48&gt;10,"⚠ Saat Taşıyor","")))</f>
        <v/>
      </c>
      <c r="P48" s="37" t="str">
        <f aca="false">IF($A48&lt;&gt;"Seçildi","",IF(OR($G48="",$I48="",$M48=""),"",IF(SUMPRODUCT(($A$7:$A$456="Seçildi")*($G$7:$G$456=$G48)*($I$7:$I$456=$I48)*(ROW($A$7:$A$456)&lt;&gt;48)*($M$7:$M$456&lt;=$N48)*($N$7:$N$456&gt;=$M48))&gt;0,"⚠ Çakışma","OK")))</f>
        <v/>
      </c>
      <c r="Q48" s="37" t="str">
        <f aca="false">IF($A48&lt;&gt;"Seçildi","",IF(OR($L48="",$I48="",$M48=""),"",IF(SUMPRODUCT(($A$7:$A$456="Seçildi")*($L$7:$L$456=$L48)*($I$7:$I$456=$I48)*(ROW($A$7:$A$456)&lt;&gt;48)*($M$7:$M$456&lt;=$N48)*($N$7:$N$456&gt;=$M48))&gt;0,"⚠ Çakışma","OK")))</f>
        <v/>
      </c>
      <c r="R48" s="37" t="str">
        <f aca="false">IF($A48&lt;&gt;"Seçildi","",IF(OR($D48="",$I48="",$M48=""),"",IF(SUMPRODUCT(($A$7:$A$456="Seçildi")*($D$7:$D$456=$D48)*($I$7:$I$456=$I48)*(ROW($A$7:$A$456)&lt;&gt;48)*($M$7:$M$456&lt;=$N48)*($N$7:$N$456&gt;=$M48))&gt;0,"⚠ Çakışma","OK")))</f>
        <v/>
      </c>
      <c r="S48" s="37"/>
      <c r="T48" s="37" t="str">
        <f aca="false">IF(OR($A48&lt;&gt;"Seçildi",AND($I48="",$J48="")),"",IF(OR($O48&lt;&gt;"",$P48="⚠ Çakışma",$Q48="⚠ Çakışma",$R48="⚠ Çakışma"),"⚠ Kontrol Et","✓ Uygun"))</f>
        <v/>
      </c>
    </row>
    <row r="49" customFormat="false" ht="13.5" hidden="false" customHeight="true" outlineLevel="0" collapsed="false">
      <c r="A49" s="33" t="str">
        <f aca="false">'1-Ders Havuzu'!K17</f>
        <v>Seçilmedi</v>
      </c>
      <c r="B49" s="33" t="str">
        <f aca="false">IF($A49="Seçildi",IF('1-Ders Havuzu'!C17="","",'1-Ders Havuzu'!C17),"")</f>
        <v/>
      </c>
      <c r="C49" s="34" t="str">
        <f aca="false">IF($A49="Seçildi",IF('1-Ders Havuzu'!D17="","",'1-Ders Havuzu'!D17),"")</f>
        <v/>
      </c>
      <c r="D49" s="33" t="str">
        <f aca="false">IF($A49="Seçildi",IF('1-Ders Havuzu'!B17="","",'1-Ders Havuzu'!B17),"")</f>
        <v/>
      </c>
      <c r="E49" s="33" t="str">
        <f aca="false">IF($A49="Seçildi",IF('1-Ders Havuzu'!A17="","",'1-Ders Havuzu'!A17),"")</f>
        <v/>
      </c>
      <c r="F49" s="33" t="str">
        <f aca="false">IF($A49="Seçildi",IF('1-Ders Havuzu'!H17="","",'1-Ders Havuzu'!H17),"")</f>
        <v/>
      </c>
      <c r="G49" s="33" t="str">
        <f aca="false">IF($A49="Seçildi",IF('2-Ders-Öğr.Elemanı Eşleştirme'!H17="","",'2-Ders-Öğr.Elemanı Eşleştirme'!H17),"")</f>
        <v/>
      </c>
      <c r="H49" s="35" t="n">
        <v>1</v>
      </c>
      <c r="I49" s="36"/>
      <c r="J49" s="36"/>
      <c r="K49" s="36"/>
      <c r="L49" s="36"/>
      <c r="M49" s="33" t="str">
        <f aca="false">IF($J49="","",MATCH($J49,{"08.00";"09.00";"10.00";"11.00";"12.00";"13.00";"14.00";"15.00";"16.00";"17.00"},0))</f>
        <v/>
      </c>
      <c r="N49" s="33" t="str">
        <f aca="false">IF(OR($M49="",$K49=""),"",$M49+$K49-1)</f>
        <v/>
      </c>
      <c r="O49" s="33" t="str">
        <f aca="false">IF($A49&lt;&gt;"Seçildi","",IF(OR($M49="",$N49=""),"",IF($N49&gt;10,"⚠ Saat Taşıyor","")))</f>
        <v/>
      </c>
      <c r="P49" s="33" t="str">
        <f aca="false">IF($A49&lt;&gt;"Seçildi","",IF(OR($G49="",$I49="",$M49=""),"",IF(SUMPRODUCT(($A$7:$A$456="Seçildi")*($G$7:$G$456=$G49)*($I$7:$I$456=$I49)*(ROW($A$7:$A$456)&lt;&gt;49)*($M$7:$M$456&lt;=$N49)*($N$7:$N$456&gt;=$M49))&gt;0,"⚠ Çakışma","OK")))</f>
        <v/>
      </c>
      <c r="Q49" s="33" t="str">
        <f aca="false">IF($A49&lt;&gt;"Seçildi","",IF(OR($L49="",$I49="",$M49=""),"",IF(SUMPRODUCT(($A$7:$A$456="Seçildi")*($L$7:$L$456=$L49)*($I$7:$I$456=$I49)*(ROW($A$7:$A$456)&lt;&gt;49)*($M$7:$M$456&lt;=$N49)*($N$7:$N$456&gt;=$M49))&gt;0,"⚠ Çakışma","OK")))</f>
        <v/>
      </c>
      <c r="R49" s="33" t="str">
        <f aca="false">IF($A49&lt;&gt;"Seçildi","",IF(OR($D49="",$I49="",$M49=""),"",IF(SUMPRODUCT(($A$7:$A$456="Seçildi")*($D$7:$D$456=$D49)*($I$7:$I$456=$I49)*(ROW($A$7:$A$456)&lt;&gt;49)*($M$7:$M$456&lt;=$N49)*($N$7:$N$456&gt;=$M49))&gt;0,"⚠ Çakışma","OK")))</f>
        <v/>
      </c>
      <c r="S49" s="33" t="str">
        <f aca="false">IF($A49&lt;&gt;"Seçildi","",IF(SUM($K49,$K50,$K51)&lt;&gt;$F49,"⚠ Dağılım: "&amp;SUM($K49:$K51)&amp;"/"&amp;$F49&amp;" saat","✓ Tamam"))</f>
        <v/>
      </c>
      <c r="T49" s="33" t="str">
        <f aca="false">IF($A49&lt;&gt;"Seçildi","",IF(OR($O49&lt;&gt;"",$P49="⚠ Çakışma",$Q49="⚠ Çakışma",$R49="⚠ Çakışma",LEFT($S49&amp;" ",1)="⚠"),"⚠ Kontrol Et","✓ Uygun"))</f>
        <v/>
      </c>
    </row>
    <row r="50" customFormat="false" ht="13.5" hidden="false" customHeight="true" outlineLevel="0" collapsed="false">
      <c r="A50" s="33" t="str">
        <f aca="false">'1-Ders Havuzu'!K17</f>
        <v>Seçilmedi</v>
      </c>
      <c r="B50" s="33" t="str">
        <f aca="false">IF($A50="Seçildi",IF('1-Ders Havuzu'!C17="","",'1-Ders Havuzu'!C17),"")</f>
        <v/>
      </c>
      <c r="C50" s="34" t="str">
        <f aca="false">IF($A50="Seçildi",IF('1-Ders Havuzu'!D17="","",'1-Ders Havuzu'!D17),"")</f>
        <v/>
      </c>
      <c r="D50" s="33" t="str">
        <f aca="false">IF($A50="Seçildi",IF('1-Ders Havuzu'!B17="","",'1-Ders Havuzu'!B17),"")</f>
        <v/>
      </c>
      <c r="E50" s="33" t="str">
        <f aca="false">IF($A50="Seçildi",IF('1-Ders Havuzu'!A17="","",'1-Ders Havuzu'!A17),"")</f>
        <v/>
      </c>
      <c r="F50" s="33" t="str">
        <f aca="false">IF($A50="Seçildi",IF('1-Ders Havuzu'!H17="","",'1-Ders Havuzu'!H17),"")</f>
        <v/>
      </c>
      <c r="G50" s="33" t="str">
        <f aca="false">IF($A50="Seçildi",IF('2-Ders-Öğr.Elemanı Eşleştirme'!H17="","",'2-Ders-Öğr.Elemanı Eşleştirme'!H17),"")</f>
        <v/>
      </c>
      <c r="H50" s="35" t="n">
        <v>2</v>
      </c>
      <c r="I50" s="36"/>
      <c r="J50" s="36"/>
      <c r="K50" s="36"/>
      <c r="L50" s="36"/>
      <c r="M50" s="33" t="str">
        <f aca="false">IF($J50="","",MATCH($J50,{"08.00";"09.00";"10.00";"11.00";"12.00";"13.00";"14.00";"15.00";"16.00";"17.00"},0))</f>
        <v/>
      </c>
      <c r="N50" s="33" t="str">
        <f aca="false">IF(OR($M50="",$K50=""),"",$M50+$K50-1)</f>
        <v/>
      </c>
      <c r="O50" s="33" t="str">
        <f aca="false">IF($A50&lt;&gt;"Seçildi","",IF(OR($M50="",$N50=""),"",IF($N50&gt;10,"⚠ Saat Taşıyor","")))</f>
        <v/>
      </c>
      <c r="P50" s="33" t="str">
        <f aca="false">IF($A50&lt;&gt;"Seçildi","",IF(OR($G50="",$I50="",$M50=""),"",IF(SUMPRODUCT(($A$7:$A$456="Seçildi")*($G$7:$G$456=$G50)*($I$7:$I$456=$I50)*(ROW($A$7:$A$456)&lt;&gt;50)*($M$7:$M$456&lt;=$N50)*($N$7:$N$456&gt;=$M50))&gt;0,"⚠ Çakışma","OK")))</f>
        <v/>
      </c>
      <c r="Q50" s="33" t="str">
        <f aca="false">IF($A50&lt;&gt;"Seçildi","",IF(OR($L50="",$I50="",$M50=""),"",IF(SUMPRODUCT(($A$7:$A$456="Seçildi")*($L$7:$L$456=$L50)*($I$7:$I$456=$I50)*(ROW($A$7:$A$456)&lt;&gt;50)*($M$7:$M$456&lt;=$N50)*($N$7:$N$456&gt;=$M50))&gt;0,"⚠ Çakışma","OK")))</f>
        <v/>
      </c>
      <c r="R50" s="33" t="str">
        <f aca="false">IF($A50&lt;&gt;"Seçildi","",IF(OR($D50="",$I50="",$M50=""),"",IF(SUMPRODUCT(($A$7:$A$456="Seçildi")*($D$7:$D$456=$D50)*($I$7:$I$456=$I50)*(ROW($A$7:$A$456)&lt;&gt;50)*($M$7:$M$456&lt;=$N50)*($N$7:$N$456&gt;=$M50))&gt;0,"⚠ Çakışma","OK")))</f>
        <v/>
      </c>
      <c r="S50" s="33"/>
      <c r="T50" s="33" t="str">
        <f aca="false">IF(OR($A50&lt;&gt;"Seçildi",AND($I50="",$J50="")),"",IF(OR($O50&lt;&gt;"",$P50="⚠ Çakışma",$Q50="⚠ Çakışma",$R50="⚠ Çakışma"),"⚠ Kontrol Et","✓ Uygun"))</f>
        <v/>
      </c>
    </row>
    <row r="51" customFormat="false" ht="13.5" hidden="false" customHeight="true" outlineLevel="0" collapsed="false">
      <c r="A51" s="33" t="str">
        <f aca="false">'1-Ders Havuzu'!K17</f>
        <v>Seçilmedi</v>
      </c>
      <c r="B51" s="33" t="str">
        <f aca="false">IF($A51="Seçildi",IF('1-Ders Havuzu'!C17="","",'1-Ders Havuzu'!C17),"")</f>
        <v/>
      </c>
      <c r="C51" s="34" t="str">
        <f aca="false">IF($A51="Seçildi",IF('1-Ders Havuzu'!D17="","",'1-Ders Havuzu'!D17),"")</f>
        <v/>
      </c>
      <c r="D51" s="33" t="str">
        <f aca="false">IF($A51="Seçildi",IF('1-Ders Havuzu'!B17="","",'1-Ders Havuzu'!B17),"")</f>
        <v/>
      </c>
      <c r="E51" s="33" t="str">
        <f aca="false">IF($A51="Seçildi",IF('1-Ders Havuzu'!A17="","",'1-Ders Havuzu'!A17),"")</f>
        <v/>
      </c>
      <c r="F51" s="33" t="str">
        <f aca="false">IF($A51="Seçildi",IF('1-Ders Havuzu'!H17="","",'1-Ders Havuzu'!H17),"")</f>
        <v/>
      </c>
      <c r="G51" s="33" t="str">
        <f aca="false">IF($A51="Seçildi",IF('2-Ders-Öğr.Elemanı Eşleştirme'!H17="","",'2-Ders-Öğr.Elemanı Eşleştirme'!H17),"")</f>
        <v/>
      </c>
      <c r="H51" s="35" t="n">
        <v>3</v>
      </c>
      <c r="I51" s="36"/>
      <c r="J51" s="36"/>
      <c r="K51" s="36"/>
      <c r="L51" s="36"/>
      <c r="M51" s="33" t="str">
        <f aca="false">IF($J51="","",MATCH($J51,{"08.00";"09.00";"10.00";"11.00";"12.00";"13.00";"14.00";"15.00";"16.00";"17.00"},0))</f>
        <v/>
      </c>
      <c r="N51" s="33" t="str">
        <f aca="false">IF(OR($M51="",$K51=""),"",$M51+$K51-1)</f>
        <v/>
      </c>
      <c r="O51" s="33" t="str">
        <f aca="false">IF($A51&lt;&gt;"Seçildi","",IF(OR($M51="",$N51=""),"",IF($N51&gt;10,"⚠ Saat Taşıyor","")))</f>
        <v/>
      </c>
      <c r="P51" s="33" t="str">
        <f aca="false">IF($A51&lt;&gt;"Seçildi","",IF(OR($G51="",$I51="",$M51=""),"",IF(SUMPRODUCT(($A$7:$A$456="Seçildi")*($G$7:$G$456=$G51)*($I$7:$I$456=$I51)*(ROW($A$7:$A$456)&lt;&gt;51)*($M$7:$M$456&lt;=$N51)*($N$7:$N$456&gt;=$M51))&gt;0,"⚠ Çakışma","OK")))</f>
        <v/>
      </c>
      <c r="Q51" s="33" t="str">
        <f aca="false">IF($A51&lt;&gt;"Seçildi","",IF(OR($L51="",$I51="",$M51=""),"",IF(SUMPRODUCT(($A$7:$A$456="Seçildi")*($L$7:$L$456=$L51)*($I$7:$I$456=$I51)*(ROW($A$7:$A$456)&lt;&gt;51)*($M$7:$M$456&lt;=$N51)*($N$7:$N$456&gt;=$M51))&gt;0,"⚠ Çakışma","OK")))</f>
        <v/>
      </c>
      <c r="R51" s="33" t="str">
        <f aca="false">IF($A51&lt;&gt;"Seçildi","",IF(OR($D51="",$I51="",$M51=""),"",IF(SUMPRODUCT(($A$7:$A$456="Seçildi")*($D$7:$D$456=$D51)*($I$7:$I$456=$I51)*(ROW($A$7:$A$456)&lt;&gt;51)*($M$7:$M$456&lt;=$N51)*($N$7:$N$456&gt;=$M51))&gt;0,"⚠ Çakışma","OK")))</f>
        <v/>
      </c>
      <c r="S51" s="33"/>
      <c r="T51" s="33" t="str">
        <f aca="false">IF(OR($A51&lt;&gt;"Seçildi",AND($I51="",$J51="")),"",IF(OR($O51&lt;&gt;"",$P51="⚠ Çakışma",$Q51="⚠ Çakışma",$R51="⚠ Çakışma"),"⚠ Kontrol Et","✓ Uygun"))</f>
        <v/>
      </c>
    </row>
    <row r="52" customFormat="false" ht="13.5" hidden="false" customHeight="true" outlineLevel="0" collapsed="false">
      <c r="A52" s="37" t="str">
        <f aca="false">'1-Ders Havuzu'!K18</f>
        <v>Seçilmedi</v>
      </c>
      <c r="B52" s="37" t="str">
        <f aca="false">IF($A52="Seçildi",IF('1-Ders Havuzu'!C18="","",'1-Ders Havuzu'!C18),"")</f>
        <v/>
      </c>
      <c r="C52" s="38" t="str">
        <f aca="false">IF($A52="Seçildi",IF('1-Ders Havuzu'!D18="","",'1-Ders Havuzu'!D18),"")</f>
        <v/>
      </c>
      <c r="D52" s="37" t="str">
        <f aca="false">IF($A52="Seçildi",IF('1-Ders Havuzu'!B18="","",'1-Ders Havuzu'!B18),"")</f>
        <v/>
      </c>
      <c r="E52" s="37" t="str">
        <f aca="false">IF($A52="Seçildi",IF('1-Ders Havuzu'!A18="","",'1-Ders Havuzu'!A18),"")</f>
        <v/>
      </c>
      <c r="F52" s="37" t="str">
        <f aca="false">IF($A52="Seçildi",IF('1-Ders Havuzu'!H18="","",'1-Ders Havuzu'!H18),"")</f>
        <v/>
      </c>
      <c r="G52" s="37" t="str">
        <f aca="false">IF($A52="Seçildi",IF('2-Ders-Öğr.Elemanı Eşleştirme'!H18="","",'2-Ders-Öğr.Elemanı Eşleştirme'!H18),"")</f>
        <v/>
      </c>
      <c r="H52" s="39" t="n">
        <v>1</v>
      </c>
      <c r="I52" s="36"/>
      <c r="J52" s="36"/>
      <c r="K52" s="36"/>
      <c r="L52" s="36"/>
      <c r="M52" s="37" t="str">
        <f aca="false">IF($J52="","",MATCH($J52,{"08.00";"09.00";"10.00";"11.00";"12.00";"13.00";"14.00";"15.00";"16.00";"17.00"},0))</f>
        <v/>
      </c>
      <c r="N52" s="37" t="str">
        <f aca="false">IF(OR($M52="",$K52=""),"",$M52+$K52-1)</f>
        <v/>
      </c>
      <c r="O52" s="37" t="str">
        <f aca="false">IF($A52&lt;&gt;"Seçildi","",IF(OR($M52="",$N52=""),"",IF($N52&gt;10,"⚠ Saat Taşıyor","")))</f>
        <v/>
      </c>
      <c r="P52" s="37" t="str">
        <f aca="false">IF($A52&lt;&gt;"Seçildi","",IF(OR($G52="",$I52="",$M52=""),"",IF(SUMPRODUCT(($A$7:$A$456="Seçildi")*($G$7:$G$456=$G52)*($I$7:$I$456=$I52)*(ROW($A$7:$A$456)&lt;&gt;52)*($M$7:$M$456&lt;=$N52)*($N$7:$N$456&gt;=$M52))&gt;0,"⚠ Çakışma","OK")))</f>
        <v/>
      </c>
      <c r="Q52" s="37" t="str">
        <f aca="false">IF($A52&lt;&gt;"Seçildi","",IF(OR($L52="",$I52="",$M52=""),"",IF(SUMPRODUCT(($A$7:$A$456="Seçildi")*($L$7:$L$456=$L52)*($I$7:$I$456=$I52)*(ROW($A$7:$A$456)&lt;&gt;52)*($M$7:$M$456&lt;=$N52)*($N$7:$N$456&gt;=$M52))&gt;0,"⚠ Çakışma","OK")))</f>
        <v/>
      </c>
      <c r="R52" s="37" t="str">
        <f aca="false">IF($A52&lt;&gt;"Seçildi","",IF(OR($D52="",$I52="",$M52=""),"",IF(SUMPRODUCT(($A$7:$A$456="Seçildi")*($D$7:$D$456=$D52)*($I$7:$I$456=$I52)*(ROW($A$7:$A$456)&lt;&gt;52)*($M$7:$M$456&lt;=$N52)*($N$7:$N$456&gt;=$M52))&gt;0,"⚠ Çakışma","OK")))</f>
        <v/>
      </c>
      <c r="S52" s="37" t="str">
        <f aca="false">IF($A52&lt;&gt;"Seçildi","",IF(SUM($K52,$K53,$K54)&lt;&gt;$F52,"⚠ Dağılım: "&amp;SUM($K52:$K54)&amp;"/"&amp;$F52&amp;" saat","✓ Tamam"))</f>
        <v/>
      </c>
      <c r="T52" s="37" t="str">
        <f aca="false">IF($A52&lt;&gt;"Seçildi","",IF(OR($O52&lt;&gt;"",$P52="⚠ Çakışma",$Q52="⚠ Çakışma",$R52="⚠ Çakışma",LEFT($S52&amp;" ",1)="⚠"),"⚠ Kontrol Et","✓ Uygun"))</f>
        <v/>
      </c>
    </row>
    <row r="53" customFormat="false" ht="13.5" hidden="false" customHeight="true" outlineLevel="0" collapsed="false">
      <c r="A53" s="37" t="str">
        <f aca="false">'1-Ders Havuzu'!K18</f>
        <v>Seçilmedi</v>
      </c>
      <c r="B53" s="37" t="str">
        <f aca="false">IF($A53="Seçildi",IF('1-Ders Havuzu'!C18="","",'1-Ders Havuzu'!C18),"")</f>
        <v/>
      </c>
      <c r="C53" s="38" t="str">
        <f aca="false">IF($A53="Seçildi",IF('1-Ders Havuzu'!D18="","",'1-Ders Havuzu'!D18),"")</f>
        <v/>
      </c>
      <c r="D53" s="37" t="str">
        <f aca="false">IF($A53="Seçildi",IF('1-Ders Havuzu'!B18="","",'1-Ders Havuzu'!B18),"")</f>
        <v/>
      </c>
      <c r="E53" s="37" t="str">
        <f aca="false">IF($A53="Seçildi",IF('1-Ders Havuzu'!A18="","",'1-Ders Havuzu'!A18),"")</f>
        <v/>
      </c>
      <c r="F53" s="37" t="str">
        <f aca="false">IF($A53="Seçildi",IF('1-Ders Havuzu'!H18="","",'1-Ders Havuzu'!H18),"")</f>
        <v/>
      </c>
      <c r="G53" s="37" t="str">
        <f aca="false">IF($A53="Seçildi",IF('2-Ders-Öğr.Elemanı Eşleştirme'!H18="","",'2-Ders-Öğr.Elemanı Eşleştirme'!H18),"")</f>
        <v/>
      </c>
      <c r="H53" s="39" t="n">
        <v>2</v>
      </c>
      <c r="I53" s="36"/>
      <c r="J53" s="36"/>
      <c r="K53" s="36"/>
      <c r="L53" s="36"/>
      <c r="M53" s="37" t="str">
        <f aca="false">IF($J53="","",MATCH($J53,{"08.00";"09.00";"10.00";"11.00";"12.00";"13.00";"14.00";"15.00";"16.00";"17.00"},0))</f>
        <v/>
      </c>
      <c r="N53" s="37" t="str">
        <f aca="false">IF(OR($M53="",$K53=""),"",$M53+$K53-1)</f>
        <v/>
      </c>
      <c r="O53" s="37" t="str">
        <f aca="false">IF($A53&lt;&gt;"Seçildi","",IF(OR($M53="",$N53=""),"",IF($N53&gt;10,"⚠ Saat Taşıyor","")))</f>
        <v/>
      </c>
      <c r="P53" s="37" t="str">
        <f aca="false">IF($A53&lt;&gt;"Seçildi","",IF(OR($G53="",$I53="",$M53=""),"",IF(SUMPRODUCT(($A$7:$A$456="Seçildi")*($G$7:$G$456=$G53)*($I$7:$I$456=$I53)*(ROW($A$7:$A$456)&lt;&gt;53)*($M$7:$M$456&lt;=$N53)*($N$7:$N$456&gt;=$M53))&gt;0,"⚠ Çakışma","OK")))</f>
        <v/>
      </c>
      <c r="Q53" s="37" t="str">
        <f aca="false">IF($A53&lt;&gt;"Seçildi","",IF(OR($L53="",$I53="",$M53=""),"",IF(SUMPRODUCT(($A$7:$A$456="Seçildi")*($L$7:$L$456=$L53)*($I$7:$I$456=$I53)*(ROW($A$7:$A$456)&lt;&gt;53)*($M$7:$M$456&lt;=$N53)*($N$7:$N$456&gt;=$M53))&gt;0,"⚠ Çakışma","OK")))</f>
        <v/>
      </c>
      <c r="R53" s="37" t="str">
        <f aca="false">IF($A53&lt;&gt;"Seçildi","",IF(OR($D53="",$I53="",$M53=""),"",IF(SUMPRODUCT(($A$7:$A$456="Seçildi")*($D$7:$D$456=$D53)*($I$7:$I$456=$I53)*(ROW($A$7:$A$456)&lt;&gt;53)*($M$7:$M$456&lt;=$N53)*($N$7:$N$456&gt;=$M53))&gt;0,"⚠ Çakışma","OK")))</f>
        <v/>
      </c>
      <c r="S53" s="37"/>
      <c r="T53" s="37" t="str">
        <f aca="false">IF(OR($A53&lt;&gt;"Seçildi",AND($I53="",$J53="")),"",IF(OR($O53&lt;&gt;"",$P53="⚠ Çakışma",$Q53="⚠ Çakışma",$R53="⚠ Çakışma"),"⚠ Kontrol Et","✓ Uygun"))</f>
        <v/>
      </c>
    </row>
    <row r="54" customFormat="false" ht="13.5" hidden="false" customHeight="true" outlineLevel="0" collapsed="false">
      <c r="A54" s="37" t="str">
        <f aca="false">'1-Ders Havuzu'!K18</f>
        <v>Seçilmedi</v>
      </c>
      <c r="B54" s="37" t="str">
        <f aca="false">IF($A54="Seçildi",IF('1-Ders Havuzu'!C18="","",'1-Ders Havuzu'!C18),"")</f>
        <v/>
      </c>
      <c r="C54" s="38" t="str">
        <f aca="false">IF($A54="Seçildi",IF('1-Ders Havuzu'!D18="","",'1-Ders Havuzu'!D18),"")</f>
        <v/>
      </c>
      <c r="D54" s="37" t="str">
        <f aca="false">IF($A54="Seçildi",IF('1-Ders Havuzu'!B18="","",'1-Ders Havuzu'!B18),"")</f>
        <v/>
      </c>
      <c r="E54" s="37" t="str">
        <f aca="false">IF($A54="Seçildi",IF('1-Ders Havuzu'!A18="","",'1-Ders Havuzu'!A18),"")</f>
        <v/>
      </c>
      <c r="F54" s="37" t="str">
        <f aca="false">IF($A54="Seçildi",IF('1-Ders Havuzu'!H18="","",'1-Ders Havuzu'!H18),"")</f>
        <v/>
      </c>
      <c r="G54" s="37" t="str">
        <f aca="false">IF($A54="Seçildi",IF('2-Ders-Öğr.Elemanı Eşleştirme'!H18="","",'2-Ders-Öğr.Elemanı Eşleştirme'!H18),"")</f>
        <v/>
      </c>
      <c r="H54" s="39" t="n">
        <v>3</v>
      </c>
      <c r="I54" s="36"/>
      <c r="J54" s="36"/>
      <c r="K54" s="36"/>
      <c r="L54" s="36"/>
      <c r="M54" s="37" t="str">
        <f aca="false">IF($J54="","",MATCH($J54,{"08.00";"09.00";"10.00";"11.00";"12.00";"13.00";"14.00";"15.00";"16.00";"17.00"},0))</f>
        <v/>
      </c>
      <c r="N54" s="37" t="str">
        <f aca="false">IF(OR($M54="",$K54=""),"",$M54+$K54-1)</f>
        <v/>
      </c>
      <c r="O54" s="37" t="str">
        <f aca="false">IF($A54&lt;&gt;"Seçildi","",IF(OR($M54="",$N54=""),"",IF($N54&gt;10,"⚠ Saat Taşıyor","")))</f>
        <v/>
      </c>
      <c r="P54" s="37" t="str">
        <f aca="false">IF($A54&lt;&gt;"Seçildi","",IF(OR($G54="",$I54="",$M54=""),"",IF(SUMPRODUCT(($A$7:$A$456="Seçildi")*($G$7:$G$456=$G54)*($I$7:$I$456=$I54)*(ROW($A$7:$A$456)&lt;&gt;54)*($M$7:$M$456&lt;=$N54)*($N$7:$N$456&gt;=$M54))&gt;0,"⚠ Çakışma","OK")))</f>
        <v/>
      </c>
      <c r="Q54" s="37" t="str">
        <f aca="false">IF($A54&lt;&gt;"Seçildi","",IF(OR($L54="",$I54="",$M54=""),"",IF(SUMPRODUCT(($A$7:$A$456="Seçildi")*($L$7:$L$456=$L54)*($I$7:$I$456=$I54)*(ROW($A$7:$A$456)&lt;&gt;54)*($M$7:$M$456&lt;=$N54)*($N$7:$N$456&gt;=$M54))&gt;0,"⚠ Çakışma","OK")))</f>
        <v/>
      </c>
      <c r="R54" s="37" t="str">
        <f aca="false">IF($A54&lt;&gt;"Seçildi","",IF(OR($D54="",$I54="",$M54=""),"",IF(SUMPRODUCT(($A$7:$A$456="Seçildi")*($D$7:$D$456=$D54)*($I$7:$I$456=$I54)*(ROW($A$7:$A$456)&lt;&gt;54)*($M$7:$M$456&lt;=$N54)*($N$7:$N$456&gt;=$M54))&gt;0,"⚠ Çakışma","OK")))</f>
        <v/>
      </c>
      <c r="S54" s="37"/>
      <c r="T54" s="37" t="str">
        <f aca="false">IF(OR($A54&lt;&gt;"Seçildi",AND($I54="",$J54="")),"",IF(OR($O54&lt;&gt;"",$P54="⚠ Çakışma",$Q54="⚠ Çakışma",$R54="⚠ Çakışma"),"⚠ Kontrol Et","✓ Uygun"))</f>
        <v/>
      </c>
    </row>
    <row r="55" customFormat="false" ht="13.5" hidden="false" customHeight="true" outlineLevel="0" collapsed="false">
      <c r="A55" s="33" t="str">
        <f aca="false">'1-Ders Havuzu'!K19</f>
        <v>Seçilmedi</v>
      </c>
      <c r="B55" s="33" t="str">
        <f aca="false">IF($A55="Seçildi",IF('1-Ders Havuzu'!C19="","",'1-Ders Havuzu'!C19),"")</f>
        <v/>
      </c>
      <c r="C55" s="34" t="str">
        <f aca="false">IF($A55="Seçildi",IF('1-Ders Havuzu'!D19="","",'1-Ders Havuzu'!D19),"")</f>
        <v/>
      </c>
      <c r="D55" s="33" t="str">
        <f aca="false">IF($A55="Seçildi",IF('1-Ders Havuzu'!B19="","",'1-Ders Havuzu'!B19),"")</f>
        <v/>
      </c>
      <c r="E55" s="33" t="str">
        <f aca="false">IF($A55="Seçildi",IF('1-Ders Havuzu'!A19="","",'1-Ders Havuzu'!A19),"")</f>
        <v/>
      </c>
      <c r="F55" s="33" t="str">
        <f aca="false">IF($A55="Seçildi",IF('1-Ders Havuzu'!H19="","",'1-Ders Havuzu'!H19),"")</f>
        <v/>
      </c>
      <c r="G55" s="33" t="str">
        <f aca="false">IF($A55="Seçildi",IF('2-Ders-Öğr.Elemanı Eşleştirme'!H19="","",'2-Ders-Öğr.Elemanı Eşleştirme'!H19),"")</f>
        <v/>
      </c>
      <c r="H55" s="35" t="n">
        <v>1</v>
      </c>
      <c r="I55" s="36"/>
      <c r="J55" s="36"/>
      <c r="K55" s="36"/>
      <c r="L55" s="36"/>
      <c r="M55" s="33" t="str">
        <f aca="false">IF($J55="","",MATCH($J55,{"08.00";"09.00";"10.00";"11.00";"12.00";"13.00";"14.00";"15.00";"16.00";"17.00"},0))</f>
        <v/>
      </c>
      <c r="N55" s="33" t="str">
        <f aca="false">IF(OR($M55="",$K55=""),"",$M55+$K55-1)</f>
        <v/>
      </c>
      <c r="O55" s="33" t="str">
        <f aca="false">IF($A55&lt;&gt;"Seçildi","",IF(OR($M55="",$N55=""),"",IF($N55&gt;10,"⚠ Saat Taşıyor","")))</f>
        <v/>
      </c>
      <c r="P55" s="33" t="str">
        <f aca="false">IF($A55&lt;&gt;"Seçildi","",IF(OR($G55="",$I55="",$M55=""),"",IF(SUMPRODUCT(($A$7:$A$456="Seçildi")*($G$7:$G$456=$G55)*($I$7:$I$456=$I55)*(ROW($A$7:$A$456)&lt;&gt;55)*($M$7:$M$456&lt;=$N55)*($N$7:$N$456&gt;=$M55))&gt;0,"⚠ Çakışma","OK")))</f>
        <v/>
      </c>
      <c r="Q55" s="33" t="str">
        <f aca="false">IF($A55&lt;&gt;"Seçildi","",IF(OR($L55="",$I55="",$M55=""),"",IF(SUMPRODUCT(($A$7:$A$456="Seçildi")*($L$7:$L$456=$L55)*($I$7:$I$456=$I55)*(ROW($A$7:$A$456)&lt;&gt;55)*($M$7:$M$456&lt;=$N55)*($N$7:$N$456&gt;=$M55))&gt;0,"⚠ Çakışma","OK")))</f>
        <v/>
      </c>
      <c r="R55" s="33" t="str">
        <f aca="false">IF($A55&lt;&gt;"Seçildi","",IF(OR($D55="",$I55="",$M55=""),"",IF(SUMPRODUCT(($A$7:$A$456="Seçildi")*($D$7:$D$456=$D55)*($I$7:$I$456=$I55)*(ROW($A$7:$A$456)&lt;&gt;55)*($M$7:$M$456&lt;=$N55)*($N$7:$N$456&gt;=$M55))&gt;0,"⚠ Çakışma","OK")))</f>
        <v/>
      </c>
      <c r="S55" s="33" t="str">
        <f aca="false">IF($A55&lt;&gt;"Seçildi","",IF(SUM($K55,$K56,$K57)&lt;&gt;$F55,"⚠ Dağılım: "&amp;SUM($K55:$K57)&amp;"/"&amp;$F55&amp;" saat","✓ Tamam"))</f>
        <v/>
      </c>
      <c r="T55" s="33" t="str">
        <f aca="false">IF($A55&lt;&gt;"Seçildi","",IF(OR($O55&lt;&gt;"",$P55="⚠ Çakışma",$Q55="⚠ Çakışma",$R55="⚠ Çakışma",LEFT($S55&amp;" ",1)="⚠"),"⚠ Kontrol Et","✓ Uygun"))</f>
        <v/>
      </c>
    </row>
    <row r="56" customFormat="false" ht="13.5" hidden="false" customHeight="true" outlineLevel="0" collapsed="false">
      <c r="A56" s="33" t="str">
        <f aca="false">'1-Ders Havuzu'!K19</f>
        <v>Seçilmedi</v>
      </c>
      <c r="B56" s="33" t="str">
        <f aca="false">IF($A56="Seçildi",IF('1-Ders Havuzu'!C19="","",'1-Ders Havuzu'!C19),"")</f>
        <v/>
      </c>
      <c r="C56" s="34" t="str">
        <f aca="false">IF($A56="Seçildi",IF('1-Ders Havuzu'!D19="","",'1-Ders Havuzu'!D19),"")</f>
        <v/>
      </c>
      <c r="D56" s="33" t="str">
        <f aca="false">IF($A56="Seçildi",IF('1-Ders Havuzu'!B19="","",'1-Ders Havuzu'!B19),"")</f>
        <v/>
      </c>
      <c r="E56" s="33" t="str">
        <f aca="false">IF($A56="Seçildi",IF('1-Ders Havuzu'!A19="","",'1-Ders Havuzu'!A19),"")</f>
        <v/>
      </c>
      <c r="F56" s="33" t="str">
        <f aca="false">IF($A56="Seçildi",IF('1-Ders Havuzu'!H19="","",'1-Ders Havuzu'!H19),"")</f>
        <v/>
      </c>
      <c r="G56" s="33" t="str">
        <f aca="false">IF($A56="Seçildi",IF('2-Ders-Öğr.Elemanı Eşleştirme'!H19="","",'2-Ders-Öğr.Elemanı Eşleştirme'!H19),"")</f>
        <v/>
      </c>
      <c r="H56" s="35" t="n">
        <v>2</v>
      </c>
      <c r="I56" s="36"/>
      <c r="J56" s="36"/>
      <c r="K56" s="36"/>
      <c r="L56" s="36"/>
      <c r="M56" s="33" t="str">
        <f aca="false">IF($J56="","",MATCH($J56,{"08.00";"09.00";"10.00";"11.00";"12.00";"13.00";"14.00";"15.00";"16.00";"17.00"},0))</f>
        <v/>
      </c>
      <c r="N56" s="33" t="str">
        <f aca="false">IF(OR($M56="",$K56=""),"",$M56+$K56-1)</f>
        <v/>
      </c>
      <c r="O56" s="33" t="str">
        <f aca="false">IF($A56&lt;&gt;"Seçildi","",IF(OR($M56="",$N56=""),"",IF($N56&gt;10,"⚠ Saat Taşıyor","")))</f>
        <v/>
      </c>
      <c r="P56" s="33" t="str">
        <f aca="false">IF($A56&lt;&gt;"Seçildi","",IF(OR($G56="",$I56="",$M56=""),"",IF(SUMPRODUCT(($A$7:$A$456="Seçildi")*($G$7:$G$456=$G56)*($I$7:$I$456=$I56)*(ROW($A$7:$A$456)&lt;&gt;56)*($M$7:$M$456&lt;=$N56)*($N$7:$N$456&gt;=$M56))&gt;0,"⚠ Çakışma","OK")))</f>
        <v/>
      </c>
      <c r="Q56" s="33" t="str">
        <f aca="false">IF($A56&lt;&gt;"Seçildi","",IF(OR($L56="",$I56="",$M56=""),"",IF(SUMPRODUCT(($A$7:$A$456="Seçildi")*($L$7:$L$456=$L56)*($I$7:$I$456=$I56)*(ROW($A$7:$A$456)&lt;&gt;56)*($M$7:$M$456&lt;=$N56)*($N$7:$N$456&gt;=$M56))&gt;0,"⚠ Çakışma","OK")))</f>
        <v/>
      </c>
      <c r="R56" s="33" t="str">
        <f aca="false">IF($A56&lt;&gt;"Seçildi","",IF(OR($D56="",$I56="",$M56=""),"",IF(SUMPRODUCT(($A$7:$A$456="Seçildi")*($D$7:$D$456=$D56)*($I$7:$I$456=$I56)*(ROW($A$7:$A$456)&lt;&gt;56)*($M$7:$M$456&lt;=$N56)*($N$7:$N$456&gt;=$M56))&gt;0,"⚠ Çakışma","OK")))</f>
        <v/>
      </c>
      <c r="S56" s="33"/>
      <c r="T56" s="33" t="str">
        <f aca="false">IF(OR($A56&lt;&gt;"Seçildi",AND($I56="",$J56="")),"",IF(OR($O56&lt;&gt;"",$P56="⚠ Çakışma",$Q56="⚠ Çakışma",$R56="⚠ Çakışma"),"⚠ Kontrol Et","✓ Uygun"))</f>
        <v/>
      </c>
    </row>
    <row r="57" customFormat="false" ht="13.5" hidden="false" customHeight="true" outlineLevel="0" collapsed="false">
      <c r="A57" s="33" t="str">
        <f aca="false">'1-Ders Havuzu'!K19</f>
        <v>Seçilmedi</v>
      </c>
      <c r="B57" s="33" t="str">
        <f aca="false">IF($A57="Seçildi",IF('1-Ders Havuzu'!C19="","",'1-Ders Havuzu'!C19),"")</f>
        <v/>
      </c>
      <c r="C57" s="34" t="str">
        <f aca="false">IF($A57="Seçildi",IF('1-Ders Havuzu'!D19="","",'1-Ders Havuzu'!D19),"")</f>
        <v/>
      </c>
      <c r="D57" s="33" t="str">
        <f aca="false">IF($A57="Seçildi",IF('1-Ders Havuzu'!B19="","",'1-Ders Havuzu'!B19),"")</f>
        <v/>
      </c>
      <c r="E57" s="33" t="str">
        <f aca="false">IF($A57="Seçildi",IF('1-Ders Havuzu'!A19="","",'1-Ders Havuzu'!A19),"")</f>
        <v/>
      </c>
      <c r="F57" s="33" t="str">
        <f aca="false">IF($A57="Seçildi",IF('1-Ders Havuzu'!H19="","",'1-Ders Havuzu'!H19),"")</f>
        <v/>
      </c>
      <c r="G57" s="33" t="str">
        <f aca="false">IF($A57="Seçildi",IF('2-Ders-Öğr.Elemanı Eşleştirme'!H19="","",'2-Ders-Öğr.Elemanı Eşleştirme'!H19),"")</f>
        <v/>
      </c>
      <c r="H57" s="35" t="n">
        <v>3</v>
      </c>
      <c r="I57" s="36"/>
      <c r="J57" s="36"/>
      <c r="K57" s="36"/>
      <c r="L57" s="36"/>
      <c r="M57" s="33" t="str">
        <f aca="false">IF($J57="","",MATCH($J57,{"08.00";"09.00";"10.00";"11.00";"12.00";"13.00";"14.00";"15.00";"16.00";"17.00"},0))</f>
        <v/>
      </c>
      <c r="N57" s="33" t="str">
        <f aca="false">IF(OR($M57="",$K57=""),"",$M57+$K57-1)</f>
        <v/>
      </c>
      <c r="O57" s="33" t="str">
        <f aca="false">IF($A57&lt;&gt;"Seçildi","",IF(OR($M57="",$N57=""),"",IF($N57&gt;10,"⚠ Saat Taşıyor","")))</f>
        <v/>
      </c>
      <c r="P57" s="33" t="str">
        <f aca="false">IF($A57&lt;&gt;"Seçildi","",IF(OR($G57="",$I57="",$M57=""),"",IF(SUMPRODUCT(($A$7:$A$456="Seçildi")*($G$7:$G$456=$G57)*($I$7:$I$456=$I57)*(ROW($A$7:$A$456)&lt;&gt;57)*($M$7:$M$456&lt;=$N57)*($N$7:$N$456&gt;=$M57))&gt;0,"⚠ Çakışma","OK")))</f>
        <v/>
      </c>
      <c r="Q57" s="33" t="str">
        <f aca="false">IF($A57&lt;&gt;"Seçildi","",IF(OR($L57="",$I57="",$M57=""),"",IF(SUMPRODUCT(($A$7:$A$456="Seçildi")*($L$7:$L$456=$L57)*($I$7:$I$456=$I57)*(ROW($A$7:$A$456)&lt;&gt;57)*($M$7:$M$456&lt;=$N57)*($N$7:$N$456&gt;=$M57))&gt;0,"⚠ Çakışma","OK")))</f>
        <v/>
      </c>
      <c r="R57" s="33" t="str">
        <f aca="false">IF($A57&lt;&gt;"Seçildi","",IF(OR($D57="",$I57="",$M57=""),"",IF(SUMPRODUCT(($A$7:$A$456="Seçildi")*($D$7:$D$456=$D57)*($I$7:$I$456=$I57)*(ROW($A$7:$A$456)&lt;&gt;57)*($M$7:$M$456&lt;=$N57)*($N$7:$N$456&gt;=$M57))&gt;0,"⚠ Çakışma","OK")))</f>
        <v/>
      </c>
      <c r="S57" s="33"/>
      <c r="T57" s="33" t="str">
        <f aca="false">IF(OR($A57&lt;&gt;"Seçildi",AND($I57="",$J57="")),"",IF(OR($O57&lt;&gt;"",$P57="⚠ Çakışma",$Q57="⚠ Çakışma",$R57="⚠ Çakışma"),"⚠ Kontrol Et","✓ Uygun"))</f>
        <v/>
      </c>
    </row>
    <row r="58" customFormat="false" ht="13.5" hidden="false" customHeight="true" outlineLevel="0" collapsed="false">
      <c r="A58" s="37" t="str">
        <f aca="false">'1-Ders Havuzu'!K20</f>
        <v>Seçilmedi</v>
      </c>
      <c r="B58" s="37" t="str">
        <f aca="false">IF($A58="Seçildi",IF('1-Ders Havuzu'!C20="","",'1-Ders Havuzu'!C20),"")</f>
        <v/>
      </c>
      <c r="C58" s="38" t="str">
        <f aca="false">IF($A58="Seçildi",IF('1-Ders Havuzu'!D20="","",'1-Ders Havuzu'!D20),"")</f>
        <v/>
      </c>
      <c r="D58" s="37" t="str">
        <f aca="false">IF($A58="Seçildi",IF('1-Ders Havuzu'!B20="","",'1-Ders Havuzu'!B20),"")</f>
        <v/>
      </c>
      <c r="E58" s="37" t="str">
        <f aca="false">IF($A58="Seçildi",IF('1-Ders Havuzu'!A20="","",'1-Ders Havuzu'!A20),"")</f>
        <v/>
      </c>
      <c r="F58" s="37" t="str">
        <f aca="false">IF($A58="Seçildi",IF('1-Ders Havuzu'!H20="","",'1-Ders Havuzu'!H20),"")</f>
        <v/>
      </c>
      <c r="G58" s="37" t="str">
        <f aca="false">IF($A58="Seçildi",IF('2-Ders-Öğr.Elemanı Eşleştirme'!H20="","",'2-Ders-Öğr.Elemanı Eşleştirme'!H20),"")</f>
        <v/>
      </c>
      <c r="H58" s="39" t="n">
        <v>1</v>
      </c>
      <c r="I58" s="36"/>
      <c r="J58" s="36"/>
      <c r="K58" s="36"/>
      <c r="L58" s="36"/>
      <c r="M58" s="37" t="str">
        <f aca="false">IF($J58="","",MATCH($J58,{"08.00";"09.00";"10.00";"11.00";"12.00";"13.00";"14.00";"15.00";"16.00";"17.00"},0))</f>
        <v/>
      </c>
      <c r="N58" s="37" t="str">
        <f aca="false">IF(OR($M58="",$K58=""),"",$M58+$K58-1)</f>
        <v/>
      </c>
      <c r="O58" s="37" t="str">
        <f aca="false">IF($A58&lt;&gt;"Seçildi","",IF(OR($M58="",$N58=""),"",IF($N58&gt;10,"⚠ Saat Taşıyor","")))</f>
        <v/>
      </c>
      <c r="P58" s="37" t="str">
        <f aca="false">IF($A58&lt;&gt;"Seçildi","",IF(OR($G58="",$I58="",$M58=""),"",IF(SUMPRODUCT(($A$7:$A$456="Seçildi")*($G$7:$G$456=$G58)*($I$7:$I$456=$I58)*(ROW($A$7:$A$456)&lt;&gt;58)*($M$7:$M$456&lt;=$N58)*($N$7:$N$456&gt;=$M58))&gt;0,"⚠ Çakışma","OK")))</f>
        <v/>
      </c>
      <c r="Q58" s="37" t="str">
        <f aca="false">IF($A58&lt;&gt;"Seçildi","",IF(OR($L58="",$I58="",$M58=""),"",IF(SUMPRODUCT(($A$7:$A$456="Seçildi")*($L$7:$L$456=$L58)*($I$7:$I$456=$I58)*(ROW($A$7:$A$456)&lt;&gt;58)*($M$7:$M$456&lt;=$N58)*($N$7:$N$456&gt;=$M58))&gt;0,"⚠ Çakışma","OK")))</f>
        <v/>
      </c>
      <c r="R58" s="37" t="str">
        <f aca="false">IF($A58&lt;&gt;"Seçildi","",IF(OR($D58="",$I58="",$M58=""),"",IF(SUMPRODUCT(($A$7:$A$456="Seçildi")*($D$7:$D$456=$D58)*($I$7:$I$456=$I58)*(ROW($A$7:$A$456)&lt;&gt;58)*($M$7:$M$456&lt;=$N58)*($N$7:$N$456&gt;=$M58))&gt;0,"⚠ Çakışma","OK")))</f>
        <v/>
      </c>
      <c r="S58" s="37" t="str">
        <f aca="false">IF($A58&lt;&gt;"Seçildi","",IF(SUM($K58,$K59,$K60)&lt;&gt;$F58,"⚠ Dağılım: "&amp;SUM($K58:$K60)&amp;"/"&amp;$F58&amp;" saat","✓ Tamam"))</f>
        <v/>
      </c>
      <c r="T58" s="37" t="str">
        <f aca="false">IF($A58&lt;&gt;"Seçildi","",IF(OR($O58&lt;&gt;"",$P58="⚠ Çakışma",$Q58="⚠ Çakışma",$R58="⚠ Çakışma",LEFT($S58&amp;" ",1)="⚠"),"⚠ Kontrol Et","✓ Uygun"))</f>
        <v/>
      </c>
    </row>
    <row r="59" customFormat="false" ht="13.5" hidden="false" customHeight="true" outlineLevel="0" collapsed="false">
      <c r="A59" s="37" t="str">
        <f aca="false">'1-Ders Havuzu'!K20</f>
        <v>Seçilmedi</v>
      </c>
      <c r="B59" s="37" t="str">
        <f aca="false">IF($A59="Seçildi",IF('1-Ders Havuzu'!C20="","",'1-Ders Havuzu'!C20),"")</f>
        <v/>
      </c>
      <c r="C59" s="38" t="str">
        <f aca="false">IF($A59="Seçildi",IF('1-Ders Havuzu'!D20="","",'1-Ders Havuzu'!D20),"")</f>
        <v/>
      </c>
      <c r="D59" s="37" t="str">
        <f aca="false">IF($A59="Seçildi",IF('1-Ders Havuzu'!B20="","",'1-Ders Havuzu'!B20),"")</f>
        <v/>
      </c>
      <c r="E59" s="37" t="str">
        <f aca="false">IF($A59="Seçildi",IF('1-Ders Havuzu'!A20="","",'1-Ders Havuzu'!A20),"")</f>
        <v/>
      </c>
      <c r="F59" s="37" t="str">
        <f aca="false">IF($A59="Seçildi",IF('1-Ders Havuzu'!H20="","",'1-Ders Havuzu'!H20),"")</f>
        <v/>
      </c>
      <c r="G59" s="37" t="str">
        <f aca="false">IF($A59="Seçildi",IF('2-Ders-Öğr.Elemanı Eşleştirme'!H20="","",'2-Ders-Öğr.Elemanı Eşleştirme'!H20),"")</f>
        <v/>
      </c>
      <c r="H59" s="39" t="n">
        <v>2</v>
      </c>
      <c r="I59" s="36"/>
      <c r="J59" s="36"/>
      <c r="K59" s="36"/>
      <c r="L59" s="36"/>
      <c r="M59" s="37" t="str">
        <f aca="false">IF($J59="","",MATCH($J59,{"08.00";"09.00";"10.00";"11.00";"12.00";"13.00";"14.00";"15.00";"16.00";"17.00"},0))</f>
        <v/>
      </c>
      <c r="N59" s="37" t="str">
        <f aca="false">IF(OR($M59="",$K59=""),"",$M59+$K59-1)</f>
        <v/>
      </c>
      <c r="O59" s="37" t="str">
        <f aca="false">IF($A59&lt;&gt;"Seçildi","",IF(OR($M59="",$N59=""),"",IF($N59&gt;10,"⚠ Saat Taşıyor","")))</f>
        <v/>
      </c>
      <c r="P59" s="37" t="str">
        <f aca="false">IF($A59&lt;&gt;"Seçildi","",IF(OR($G59="",$I59="",$M59=""),"",IF(SUMPRODUCT(($A$7:$A$456="Seçildi")*($G$7:$G$456=$G59)*($I$7:$I$456=$I59)*(ROW($A$7:$A$456)&lt;&gt;59)*($M$7:$M$456&lt;=$N59)*($N$7:$N$456&gt;=$M59))&gt;0,"⚠ Çakışma","OK")))</f>
        <v/>
      </c>
      <c r="Q59" s="37" t="str">
        <f aca="false">IF($A59&lt;&gt;"Seçildi","",IF(OR($L59="",$I59="",$M59=""),"",IF(SUMPRODUCT(($A$7:$A$456="Seçildi")*($L$7:$L$456=$L59)*($I$7:$I$456=$I59)*(ROW($A$7:$A$456)&lt;&gt;59)*($M$7:$M$456&lt;=$N59)*($N$7:$N$456&gt;=$M59))&gt;0,"⚠ Çakışma","OK")))</f>
        <v/>
      </c>
      <c r="R59" s="37" t="str">
        <f aca="false">IF($A59&lt;&gt;"Seçildi","",IF(OR($D59="",$I59="",$M59=""),"",IF(SUMPRODUCT(($A$7:$A$456="Seçildi")*($D$7:$D$456=$D59)*($I$7:$I$456=$I59)*(ROW($A$7:$A$456)&lt;&gt;59)*($M$7:$M$456&lt;=$N59)*($N$7:$N$456&gt;=$M59))&gt;0,"⚠ Çakışma","OK")))</f>
        <v/>
      </c>
      <c r="S59" s="37"/>
      <c r="T59" s="37" t="str">
        <f aca="false">IF(OR($A59&lt;&gt;"Seçildi",AND($I59="",$J59="")),"",IF(OR($O59&lt;&gt;"",$P59="⚠ Çakışma",$Q59="⚠ Çakışma",$R59="⚠ Çakışma"),"⚠ Kontrol Et","✓ Uygun"))</f>
        <v/>
      </c>
    </row>
    <row r="60" customFormat="false" ht="13.5" hidden="false" customHeight="true" outlineLevel="0" collapsed="false">
      <c r="A60" s="37" t="str">
        <f aca="false">'1-Ders Havuzu'!K20</f>
        <v>Seçilmedi</v>
      </c>
      <c r="B60" s="37" t="str">
        <f aca="false">IF($A60="Seçildi",IF('1-Ders Havuzu'!C20="","",'1-Ders Havuzu'!C20),"")</f>
        <v/>
      </c>
      <c r="C60" s="38" t="str">
        <f aca="false">IF($A60="Seçildi",IF('1-Ders Havuzu'!D20="","",'1-Ders Havuzu'!D20),"")</f>
        <v/>
      </c>
      <c r="D60" s="37" t="str">
        <f aca="false">IF($A60="Seçildi",IF('1-Ders Havuzu'!B20="","",'1-Ders Havuzu'!B20),"")</f>
        <v/>
      </c>
      <c r="E60" s="37" t="str">
        <f aca="false">IF($A60="Seçildi",IF('1-Ders Havuzu'!A20="","",'1-Ders Havuzu'!A20),"")</f>
        <v/>
      </c>
      <c r="F60" s="37" t="str">
        <f aca="false">IF($A60="Seçildi",IF('1-Ders Havuzu'!H20="","",'1-Ders Havuzu'!H20),"")</f>
        <v/>
      </c>
      <c r="G60" s="37" t="str">
        <f aca="false">IF($A60="Seçildi",IF('2-Ders-Öğr.Elemanı Eşleştirme'!H20="","",'2-Ders-Öğr.Elemanı Eşleştirme'!H20),"")</f>
        <v/>
      </c>
      <c r="H60" s="39" t="n">
        <v>3</v>
      </c>
      <c r="I60" s="36"/>
      <c r="J60" s="36"/>
      <c r="K60" s="36"/>
      <c r="L60" s="36"/>
      <c r="M60" s="37" t="str">
        <f aca="false">IF($J60="","",MATCH($J60,{"08.00";"09.00";"10.00";"11.00";"12.00";"13.00";"14.00";"15.00";"16.00";"17.00"},0))</f>
        <v/>
      </c>
      <c r="N60" s="37" t="str">
        <f aca="false">IF(OR($M60="",$K60=""),"",$M60+$K60-1)</f>
        <v/>
      </c>
      <c r="O60" s="37" t="str">
        <f aca="false">IF($A60&lt;&gt;"Seçildi","",IF(OR($M60="",$N60=""),"",IF($N60&gt;10,"⚠ Saat Taşıyor","")))</f>
        <v/>
      </c>
      <c r="P60" s="37" t="str">
        <f aca="false">IF($A60&lt;&gt;"Seçildi","",IF(OR($G60="",$I60="",$M60=""),"",IF(SUMPRODUCT(($A$7:$A$456="Seçildi")*($G$7:$G$456=$G60)*($I$7:$I$456=$I60)*(ROW($A$7:$A$456)&lt;&gt;60)*($M$7:$M$456&lt;=$N60)*($N$7:$N$456&gt;=$M60))&gt;0,"⚠ Çakışma","OK")))</f>
        <v/>
      </c>
      <c r="Q60" s="37" t="str">
        <f aca="false">IF($A60&lt;&gt;"Seçildi","",IF(OR($L60="",$I60="",$M60=""),"",IF(SUMPRODUCT(($A$7:$A$456="Seçildi")*($L$7:$L$456=$L60)*($I$7:$I$456=$I60)*(ROW($A$7:$A$456)&lt;&gt;60)*($M$7:$M$456&lt;=$N60)*($N$7:$N$456&gt;=$M60))&gt;0,"⚠ Çakışma","OK")))</f>
        <v/>
      </c>
      <c r="R60" s="37" t="str">
        <f aca="false">IF($A60&lt;&gt;"Seçildi","",IF(OR($D60="",$I60="",$M60=""),"",IF(SUMPRODUCT(($A$7:$A$456="Seçildi")*($D$7:$D$456=$D60)*($I$7:$I$456=$I60)*(ROW($A$7:$A$456)&lt;&gt;60)*($M$7:$M$456&lt;=$N60)*($N$7:$N$456&gt;=$M60))&gt;0,"⚠ Çakışma","OK")))</f>
        <v/>
      </c>
      <c r="S60" s="37"/>
      <c r="T60" s="37" t="str">
        <f aca="false">IF(OR($A60&lt;&gt;"Seçildi",AND($I60="",$J60="")),"",IF(OR($O60&lt;&gt;"",$P60="⚠ Çakışma",$Q60="⚠ Çakışma",$R60="⚠ Çakışma"),"⚠ Kontrol Et","✓ Uygun"))</f>
        <v/>
      </c>
    </row>
    <row r="61" customFormat="false" ht="13.5" hidden="false" customHeight="true" outlineLevel="0" collapsed="false">
      <c r="A61" s="33" t="str">
        <f aca="false">'1-Ders Havuzu'!K21</f>
        <v>Seçilmedi</v>
      </c>
      <c r="B61" s="33" t="str">
        <f aca="false">IF($A61="Seçildi",IF('1-Ders Havuzu'!C21="","",'1-Ders Havuzu'!C21),"")</f>
        <v/>
      </c>
      <c r="C61" s="34" t="str">
        <f aca="false">IF($A61="Seçildi",IF('1-Ders Havuzu'!D21="","",'1-Ders Havuzu'!D21),"")</f>
        <v/>
      </c>
      <c r="D61" s="33" t="str">
        <f aca="false">IF($A61="Seçildi",IF('1-Ders Havuzu'!B21="","",'1-Ders Havuzu'!B21),"")</f>
        <v/>
      </c>
      <c r="E61" s="33" t="str">
        <f aca="false">IF($A61="Seçildi",IF('1-Ders Havuzu'!A21="","",'1-Ders Havuzu'!A21),"")</f>
        <v/>
      </c>
      <c r="F61" s="33" t="str">
        <f aca="false">IF($A61="Seçildi",IF('1-Ders Havuzu'!H21="","",'1-Ders Havuzu'!H21),"")</f>
        <v/>
      </c>
      <c r="G61" s="33" t="str">
        <f aca="false">IF($A61="Seçildi",IF('2-Ders-Öğr.Elemanı Eşleştirme'!H21="","",'2-Ders-Öğr.Elemanı Eşleştirme'!H21),"")</f>
        <v/>
      </c>
      <c r="H61" s="35" t="n">
        <v>1</v>
      </c>
      <c r="I61" s="36"/>
      <c r="J61" s="36"/>
      <c r="K61" s="36"/>
      <c r="L61" s="36"/>
      <c r="M61" s="33" t="str">
        <f aca="false">IF($J61="","",MATCH($J61,{"08.00";"09.00";"10.00";"11.00";"12.00";"13.00";"14.00";"15.00";"16.00";"17.00"},0))</f>
        <v/>
      </c>
      <c r="N61" s="33" t="str">
        <f aca="false">IF(OR($M61="",$K61=""),"",$M61+$K61-1)</f>
        <v/>
      </c>
      <c r="O61" s="33" t="str">
        <f aca="false">IF($A61&lt;&gt;"Seçildi","",IF(OR($M61="",$N61=""),"",IF($N61&gt;10,"⚠ Saat Taşıyor","")))</f>
        <v/>
      </c>
      <c r="P61" s="33" t="str">
        <f aca="false">IF($A61&lt;&gt;"Seçildi","",IF(OR($G61="",$I61="",$M61=""),"",IF(SUMPRODUCT(($A$7:$A$456="Seçildi")*($G$7:$G$456=$G61)*($I$7:$I$456=$I61)*(ROW($A$7:$A$456)&lt;&gt;61)*($M$7:$M$456&lt;=$N61)*($N$7:$N$456&gt;=$M61))&gt;0,"⚠ Çakışma","OK")))</f>
        <v/>
      </c>
      <c r="Q61" s="33" t="str">
        <f aca="false">IF($A61&lt;&gt;"Seçildi","",IF(OR($L61="",$I61="",$M61=""),"",IF(SUMPRODUCT(($A$7:$A$456="Seçildi")*($L$7:$L$456=$L61)*($I$7:$I$456=$I61)*(ROW($A$7:$A$456)&lt;&gt;61)*($M$7:$M$456&lt;=$N61)*($N$7:$N$456&gt;=$M61))&gt;0,"⚠ Çakışma","OK")))</f>
        <v/>
      </c>
      <c r="R61" s="33" t="str">
        <f aca="false">IF($A61&lt;&gt;"Seçildi","",IF(OR($D61="",$I61="",$M61=""),"",IF(SUMPRODUCT(($A$7:$A$456="Seçildi")*($D$7:$D$456=$D61)*($I$7:$I$456=$I61)*(ROW($A$7:$A$456)&lt;&gt;61)*($M$7:$M$456&lt;=$N61)*($N$7:$N$456&gt;=$M61))&gt;0,"⚠ Çakışma","OK")))</f>
        <v/>
      </c>
      <c r="S61" s="33" t="str">
        <f aca="false">IF($A61&lt;&gt;"Seçildi","",IF(SUM($K61,$K62,$K63)&lt;&gt;$F61,"⚠ Dağılım: "&amp;SUM($K61:$K63)&amp;"/"&amp;$F61&amp;" saat","✓ Tamam"))</f>
        <v/>
      </c>
      <c r="T61" s="33" t="str">
        <f aca="false">IF($A61&lt;&gt;"Seçildi","",IF(OR($O61&lt;&gt;"",$P61="⚠ Çakışma",$Q61="⚠ Çakışma",$R61="⚠ Çakışma",LEFT($S61&amp;" ",1)="⚠"),"⚠ Kontrol Et","✓ Uygun"))</f>
        <v/>
      </c>
    </row>
    <row r="62" customFormat="false" ht="13.5" hidden="false" customHeight="true" outlineLevel="0" collapsed="false">
      <c r="A62" s="33" t="str">
        <f aca="false">'1-Ders Havuzu'!K21</f>
        <v>Seçilmedi</v>
      </c>
      <c r="B62" s="33" t="str">
        <f aca="false">IF($A62="Seçildi",IF('1-Ders Havuzu'!C21="","",'1-Ders Havuzu'!C21),"")</f>
        <v/>
      </c>
      <c r="C62" s="34" t="str">
        <f aca="false">IF($A62="Seçildi",IF('1-Ders Havuzu'!D21="","",'1-Ders Havuzu'!D21),"")</f>
        <v/>
      </c>
      <c r="D62" s="33" t="str">
        <f aca="false">IF($A62="Seçildi",IF('1-Ders Havuzu'!B21="","",'1-Ders Havuzu'!B21),"")</f>
        <v/>
      </c>
      <c r="E62" s="33" t="str">
        <f aca="false">IF($A62="Seçildi",IF('1-Ders Havuzu'!A21="","",'1-Ders Havuzu'!A21),"")</f>
        <v/>
      </c>
      <c r="F62" s="33" t="str">
        <f aca="false">IF($A62="Seçildi",IF('1-Ders Havuzu'!H21="","",'1-Ders Havuzu'!H21),"")</f>
        <v/>
      </c>
      <c r="G62" s="33" t="str">
        <f aca="false">IF($A62="Seçildi",IF('2-Ders-Öğr.Elemanı Eşleştirme'!H21="","",'2-Ders-Öğr.Elemanı Eşleştirme'!H21),"")</f>
        <v/>
      </c>
      <c r="H62" s="35" t="n">
        <v>2</v>
      </c>
      <c r="I62" s="36"/>
      <c r="J62" s="36"/>
      <c r="K62" s="36"/>
      <c r="L62" s="36"/>
      <c r="M62" s="33" t="str">
        <f aca="false">IF($J62="","",MATCH($J62,{"08.00";"09.00";"10.00";"11.00";"12.00";"13.00";"14.00";"15.00";"16.00";"17.00"},0))</f>
        <v/>
      </c>
      <c r="N62" s="33" t="str">
        <f aca="false">IF(OR($M62="",$K62=""),"",$M62+$K62-1)</f>
        <v/>
      </c>
      <c r="O62" s="33" t="str">
        <f aca="false">IF($A62&lt;&gt;"Seçildi","",IF(OR($M62="",$N62=""),"",IF($N62&gt;10,"⚠ Saat Taşıyor","")))</f>
        <v/>
      </c>
      <c r="P62" s="33" t="str">
        <f aca="false">IF($A62&lt;&gt;"Seçildi","",IF(OR($G62="",$I62="",$M62=""),"",IF(SUMPRODUCT(($A$7:$A$456="Seçildi")*($G$7:$G$456=$G62)*($I$7:$I$456=$I62)*(ROW($A$7:$A$456)&lt;&gt;62)*($M$7:$M$456&lt;=$N62)*($N$7:$N$456&gt;=$M62))&gt;0,"⚠ Çakışma","OK")))</f>
        <v/>
      </c>
      <c r="Q62" s="33" t="str">
        <f aca="false">IF($A62&lt;&gt;"Seçildi","",IF(OR($L62="",$I62="",$M62=""),"",IF(SUMPRODUCT(($A$7:$A$456="Seçildi")*($L$7:$L$456=$L62)*($I$7:$I$456=$I62)*(ROW($A$7:$A$456)&lt;&gt;62)*($M$7:$M$456&lt;=$N62)*($N$7:$N$456&gt;=$M62))&gt;0,"⚠ Çakışma","OK")))</f>
        <v/>
      </c>
      <c r="R62" s="33" t="str">
        <f aca="false">IF($A62&lt;&gt;"Seçildi","",IF(OR($D62="",$I62="",$M62=""),"",IF(SUMPRODUCT(($A$7:$A$456="Seçildi")*($D$7:$D$456=$D62)*($I$7:$I$456=$I62)*(ROW($A$7:$A$456)&lt;&gt;62)*($M$7:$M$456&lt;=$N62)*($N$7:$N$456&gt;=$M62))&gt;0,"⚠ Çakışma","OK")))</f>
        <v/>
      </c>
      <c r="S62" s="33"/>
      <c r="T62" s="33" t="str">
        <f aca="false">IF(OR($A62&lt;&gt;"Seçildi",AND($I62="",$J62="")),"",IF(OR($O62&lt;&gt;"",$P62="⚠ Çakışma",$Q62="⚠ Çakışma",$R62="⚠ Çakışma"),"⚠ Kontrol Et","✓ Uygun"))</f>
        <v/>
      </c>
    </row>
    <row r="63" customFormat="false" ht="13.5" hidden="false" customHeight="true" outlineLevel="0" collapsed="false">
      <c r="A63" s="33" t="str">
        <f aca="false">'1-Ders Havuzu'!K21</f>
        <v>Seçilmedi</v>
      </c>
      <c r="B63" s="33" t="str">
        <f aca="false">IF($A63="Seçildi",IF('1-Ders Havuzu'!C21="","",'1-Ders Havuzu'!C21),"")</f>
        <v/>
      </c>
      <c r="C63" s="34" t="str">
        <f aca="false">IF($A63="Seçildi",IF('1-Ders Havuzu'!D21="","",'1-Ders Havuzu'!D21),"")</f>
        <v/>
      </c>
      <c r="D63" s="33" t="str">
        <f aca="false">IF($A63="Seçildi",IF('1-Ders Havuzu'!B21="","",'1-Ders Havuzu'!B21),"")</f>
        <v/>
      </c>
      <c r="E63" s="33" t="str">
        <f aca="false">IF($A63="Seçildi",IF('1-Ders Havuzu'!A21="","",'1-Ders Havuzu'!A21),"")</f>
        <v/>
      </c>
      <c r="F63" s="33" t="str">
        <f aca="false">IF($A63="Seçildi",IF('1-Ders Havuzu'!H21="","",'1-Ders Havuzu'!H21),"")</f>
        <v/>
      </c>
      <c r="G63" s="33" t="str">
        <f aca="false">IF($A63="Seçildi",IF('2-Ders-Öğr.Elemanı Eşleştirme'!H21="","",'2-Ders-Öğr.Elemanı Eşleştirme'!H21),"")</f>
        <v/>
      </c>
      <c r="H63" s="35" t="n">
        <v>3</v>
      </c>
      <c r="I63" s="36"/>
      <c r="J63" s="36"/>
      <c r="K63" s="36"/>
      <c r="L63" s="36"/>
      <c r="M63" s="33" t="str">
        <f aca="false">IF($J63="","",MATCH($J63,{"08.00";"09.00";"10.00";"11.00";"12.00";"13.00";"14.00";"15.00";"16.00";"17.00"},0))</f>
        <v/>
      </c>
      <c r="N63" s="33" t="str">
        <f aca="false">IF(OR($M63="",$K63=""),"",$M63+$K63-1)</f>
        <v/>
      </c>
      <c r="O63" s="33" t="str">
        <f aca="false">IF($A63&lt;&gt;"Seçildi","",IF(OR($M63="",$N63=""),"",IF($N63&gt;10,"⚠ Saat Taşıyor","")))</f>
        <v/>
      </c>
      <c r="P63" s="33" t="str">
        <f aca="false">IF($A63&lt;&gt;"Seçildi","",IF(OR($G63="",$I63="",$M63=""),"",IF(SUMPRODUCT(($A$7:$A$456="Seçildi")*($G$7:$G$456=$G63)*($I$7:$I$456=$I63)*(ROW($A$7:$A$456)&lt;&gt;63)*($M$7:$M$456&lt;=$N63)*($N$7:$N$456&gt;=$M63))&gt;0,"⚠ Çakışma","OK")))</f>
        <v/>
      </c>
      <c r="Q63" s="33" t="str">
        <f aca="false">IF($A63&lt;&gt;"Seçildi","",IF(OR($L63="",$I63="",$M63=""),"",IF(SUMPRODUCT(($A$7:$A$456="Seçildi")*($L$7:$L$456=$L63)*($I$7:$I$456=$I63)*(ROW($A$7:$A$456)&lt;&gt;63)*($M$7:$M$456&lt;=$N63)*($N$7:$N$456&gt;=$M63))&gt;0,"⚠ Çakışma","OK")))</f>
        <v/>
      </c>
      <c r="R63" s="33" t="str">
        <f aca="false">IF($A63&lt;&gt;"Seçildi","",IF(OR($D63="",$I63="",$M63=""),"",IF(SUMPRODUCT(($A$7:$A$456="Seçildi")*($D$7:$D$456=$D63)*($I$7:$I$456=$I63)*(ROW($A$7:$A$456)&lt;&gt;63)*($M$7:$M$456&lt;=$N63)*($N$7:$N$456&gt;=$M63))&gt;0,"⚠ Çakışma","OK")))</f>
        <v/>
      </c>
      <c r="S63" s="33"/>
      <c r="T63" s="33" t="str">
        <f aca="false">IF(OR($A63&lt;&gt;"Seçildi",AND($I63="",$J63="")),"",IF(OR($O63&lt;&gt;"",$P63="⚠ Çakışma",$Q63="⚠ Çakışma",$R63="⚠ Çakışma"),"⚠ Kontrol Et","✓ Uygun"))</f>
        <v/>
      </c>
    </row>
    <row r="64" customFormat="false" ht="13.5" hidden="false" customHeight="true" outlineLevel="0" collapsed="false">
      <c r="A64" s="37" t="str">
        <f aca="false">'1-Ders Havuzu'!K22</f>
        <v>Seçilmedi</v>
      </c>
      <c r="B64" s="37" t="str">
        <f aca="false">IF($A64="Seçildi",IF('1-Ders Havuzu'!C22="","",'1-Ders Havuzu'!C22),"")</f>
        <v/>
      </c>
      <c r="C64" s="38" t="str">
        <f aca="false">IF($A64="Seçildi",IF('1-Ders Havuzu'!D22="","",'1-Ders Havuzu'!D22),"")</f>
        <v/>
      </c>
      <c r="D64" s="37" t="str">
        <f aca="false">IF($A64="Seçildi",IF('1-Ders Havuzu'!B22="","",'1-Ders Havuzu'!B22),"")</f>
        <v/>
      </c>
      <c r="E64" s="37" t="str">
        <f aca="false">IF($A64="Seçildi",IF('1-Ders Havuzu'!A22="","",'1-Ders Havuzu'!A22),"")</f>
        <v/>
      </c>
      <c r="F64" s="37" t="str">
        <f aca="false">IF($A64="Seçildi",IF('1-Ders Havuzu'!H22="","",'1-Ders Havuzu'!H22),"")</f>
        <v/>
      </c>
      <c r="G64" s="37" t="str">
        <f aca="false">IF($A64="Seçildi",IF('2-Ders-Öğr.Elemanı Eşleştirme'!H22="","",'2-Ders-Öğr.Elemanı Eşleştirme'!H22),"")</f>
        <v/>
      </c>
      <c r="H64" s="39" t="n">
        <v>1</v>
      </c>
      <c r="I64" s="36"/>
      <c r="J64" s="36"/>
      <c r="K64" s="36"/>
      <c r="L64" s="36"/>
      <c r="M64" s="37" t="str">
        <f aca="false">IF($J64="","",MATCH($J64,{"08.00";"09.00";"10.00";"11.00";"12.00";"13.00";"14.00";"15.00";"16.00";"17.00"},0))</f>
        <v/>
      </c>
      <c r="N64" s="37" t="str">
        <f aca="false">IF(OR($M64="",$K64=""),"",$M64+$K64-1)</f>
        <v/>
      </c>
      <c r="O64" s="37" t="str">
        <f aca="false">IF($A64&lt;&gt;"Seçildi","",IF(OR($M64="",$N64=""),"",IF($N64&gt;10,"⚠ Saat Taşıyor","")))</f>
        <v/>
      </c>
      <c r="P64" s="37" t="str">
        <f aca="false">IF($A64&lt;&gt;"Seçildi","",IF(OR($G64="",$I64="",$M64=""),"",IF(SUMPRODUCT(($A$7:$A$456="Seçildi")*($G$7:$G$456=$G64)*($I$7:$I$456=$I64)*(ROW($A$7:$A$456)&lt;&gt;64)*($M$7:$M$456&lt;=$N64)*($N$7:$N$456&gt;=$M64))&gt;0,"⚠ Çakışma","OK")))</f>
        <v/>
      </c>
      <c r="Q64" s="37" t="str">
        <f aca="false">IF($A64&lt;&gt;"Seçildi","",IF(OR($L64="",$I64="",$M64=""),"",IF(SUMPRODUCT(($A$7:$A$456="Seçildi")*($L$7:$L$456=$L64)*($I$7:$I$456=$I64)*(ROW($A$7:$A$456)&lt;&gt;64)*($M$7:$M$456&lt;=$N64)*($N$7:$N$456&gt;=$M64))&gt;0,"⚠ Çakışma","OK")))</f>
        <v/>
      </c>
      <c r="R64" s="37" t="str">
        <f aca="false">IF($A64&lt;&gt;"Seçildi","",IF(OR($D64="",$I64="",$M64=""),"",IF(SUMPRODUCT(($A$7:$A$456="Seçildi")*($D$7:$D$456=$D64)*($I$7:$I$456=$I64)*(ROW($A$7:$A$456)&lt;&gt;64)*($M$7:$M$456&lt;=$N64)*($N$7:$N$456&gt;=$M64))&gt;0,"⚠ Çakışma","OK")))</f>
        <v/>
      </c>
      <c r="S64" s="37" t="str">
        <f aca="false">IF($A64&lt;&gt;"Seçildi","",IF(SUM($K64,$K65,$K66)&lt;&gt;$F64,"⚠ Dağılım: "&amp;SUM($K64:$K66)&amp;"/"&amp;$F64&amp;" saat","✓ Tamam"))</f>
        <v/>
      </c>
      <c r="T64" s="37" t="str">
        <f aca="false">IF($A64&lt;&gt;"Seçildi","",IF(OR($O64&lt;&gt;"",$P64="⚠ Çakışma",$Q64="⚠ Çakışma",$R64="⚠ Çakışma",LEFT($S64&amp;" ",1)="⚠"),"⚠ Kontrol Et","✓ Uygun"))</f>
        <v/>
      </c>
    </row>
    <row r="65" customFormat="false" ht="13.5" hidden="false" customHeight="true" outlineLevel="0" collapsed="false">
      <c r="A65" s="37" t="str">
        <f aca="false">'1-Ders Havuzu'!K22</f>
        <v>Seçilmedi</v>
      </c>
      <c r="B65" s="37" t="str">
        <f aca="false">IF($A65="Seçildi",IF('1-Ders Havuzu'!C22="","",'1-Ders Havuzu'!C22),"")</f>
        <v/>
      </c>
      <c r="C65" s="38" t="str">
        <f aca="false">IF($A65="Seçildi",IF('1-Ders Havuzu'!D22="","",'1-Ders Havuzu'!D22),"")</f>
        <v/>
      </c>
      <c r="D65" s="37" t="str">
        <f aca="false">IF($A65="Seçildi",IF('1-Ders Havuzu'!B22="","",'1-Ders Havuzu'!B22),"")</f>
        <v/>
      </c>
      <c r="E65" s="37" t="str">
        <f aca="false">IF($A65="Seçildi",IF('1-Ders Havuzu'!A22="","",'1-Ders Havuzu'!A22),"")</f>
        <v/>
      </c>
      <c r="F65" s="37" t="str">
        <f aca="false">IF($A65="Seçildi",IF('1-Ders Havuzu'!H22="","",'1-Ders Havuzu'!H22),"")</f>
        <v/>
      </c>
      <c r="G65" s="37" t="str">
        <f aca="false">IF($A65="Seçildi",IF('2-Ders-Öğr.Elemanı Eşleştirme'!H22="","",'2-Ders-Öğr.Elemanı Eşleştirme'!H22),"")</f>
        <v/>
      </c>
      <c r="H65" s="39" t="n">
        <v>2</v>
      </c>
      <c r="I65" s="36"/>
      <c r="J65" s="36"/>
      <c r="K65" s="36"/>
      <c r="L65" s="36"/>
      <c r="M65" s="37" t="str">
        <f aca="false">IF($J65="","",MATCH($J65,{"08.00";"09.00";"10.00";"11.00";"12.00";"13.00";"14.00";"15.00";"16.00";"17.00"},0))</f>
        <v/>
      </c>
      <c r="N65" s="37" t="str">
        <f aca="false">IF(OR($M65="",$K65=""),"",$M65+$K65-1)</f>
        <v/>
      </c>
      <c r="O65" s="37" t="str">
        <f aca="false">IF($A65&lt;&gt;"Seçildi","",IF(OR($M65="",$N65=""),"",IF($N65&gt;10,"⚠ Saat Taşıyor","")))</f>
        <v/>
      </c>
      <c r="P65" s="37" t="str">
        <f aca="false">IF($A65&lt;&gt;"Seçildi","",IF(OR($G65="",$I65="",$M65=""),"",IF(SUMPRODUCT(($A$7:$A$456="Seçildi")*($G$7:$G$456=$G65)*($I$7:$I$456=$I65)*(ROW($A$7:$A$456)&lt;&gt;65)*($M$7:$M$456&lt;=$N65)*($N$7:$N$456&gt;=$M65))&gt;0,"⚠ Çakışma","OK")))</f>
        <v/>
      </c>
      <c r="Q65" s="37" t="str">
        <f aca="false">IF($A65&lt;&gt;"Seçildi","",IF(OR($L65="",$I65="",$M65=""),"",IF(SUMPRODUCT(($A$7:$A$456="Seçildi")*($L$7:$L$456=$L65)*($I$7:$I$456=$I65)*(ROW($A$7:$A$456)&lt;&gt;65)*($M$7:$M$456&lt;=$N65)*($N$7:$N$456&gt;=$M65))&gt;0,"⚠ Çakışma","OK")))</f>
        <v/>
      </c>
      <c r="R65" s="37" t="str">
        <f aca="false">IF($A65&lt;&gt;"Seçildi","",IF(OR($D65="",$I65="",$M65=""),"",IF(SUMPRODUCT(($A$7:$A$456="Seçildi")*($D$7:$D$456=$D65)*($I$7:$I$456=$I65)*(ROW($A$7:$A$456)&lt;&gt;65)*($M$7:$M$456&lt;=$N65)*($N$7:$N$456&gt;=$M65))&gt;0,"⚠ Çakışma","OK")))</f>
        <v/>
      </c>
      <c r="S65" s="37"/>
      <c r="T65" s="37" t="str">
        <f aca="false">IF(OR($A65&lt;&gt;"Seçildi",AND($I65="",$J65="")),"",IF(OR($O65&lt;&gt;"",$P65="⚠ Çakışma",$Q65="⚠ Çakışma",$R65="⚠ Çakışma"),"⚠ Kontrol Et","✓ Uygun"))</f>
        <v/>
      </c>
    </row>
    <row r="66" customFormat="false" ht="13.5" hidden="false" customHeight="true" outlineLevel="0" collapsed="false">
      <c r="A66" s="37" t="str">
        <f aca="false">'1-Ders Havuzu'!K22</f>
        <v>Seçilmedi</v>
      </c>
      <c r="B66" s="37" t="str">
        <f aca="false">IF($A66="Seçildi",IF('1-Ders Havuzu'!C22="","",'1-Ders Havuzu'!C22),"")</f>
        <v/>
      </c>
      <c r="C66" s="38" t="str">
        <f aca="false">IF($A66="Seçildi",IF('1-Ders Havuzu'!D22="","",'1-Ders Havuzu'!D22),"")</f>
        <v/>
      </c>
      <c r="D66" s="37" t="str">
        <f aca="false">IF($A66="Seçildi",IF('1-Ders Havuzu'!B22="","",'1-Ders Havuzu'!B22),"")</f>
        <v/>
      </c>
      <c r="E66" s="37" t="str">
        <f aca="false">IF($A66="Seçildi",IF('1-Ders Havuzu'!A22="","",'1-Ders Havuzu'!A22),"")</f>
        <v/>
      </c>
      <c r="F66" s="37" t="str">
        <f aca="false">IF($A66="Seçildi",IF('1-Ders Havuzu'!H22="","",'1-Ders Havuzu'!H22),"")</f>
        <v/>
      </c>
      <c r="G66" s="37" t="str">
        <f aca="false">IF($A66="Seçildi",IF('2-Ders-Öğr.Elemanı Eşleştirme'!H22="","",'2-Ders-Öğr.Elemanı Eşleştirme'!H22),"")</f>
        <v/>
      </c>
      <c r="H66" s="39" t="n">
        <v>3</v>
      </c>
      <c r="I66" s="36"/>
      <c r="J66" s="36"/>
      <c r="K66" s="36"/>
      <c r="L66" s="36"/>
      <c r="M66" s="37" t="str">
        <f aca="false">IF($J66="","",MATCH($J66,{"08.00";"09.00";"10.00";"11.00";"12.00";"13.00";"14.00";"15.00";"16.00";"17.00"},0))</f>
        <v/>
      </c>
      <c r="N66" s="37" t="str">
        <f aca="false">IF(OR($M66="",$K66=""),"",$M66+$K66-1)</f>
        <v/>
      </c>
      <c r="O66" s="37" t="str">
        <f aca="false">IF($A66&lt;&gt;"Seçildi","",IF(OR($M66="",$N66=""),"",IF($N66&gt;10,"⚠ Saat Taşıyor","")))</f>
        <v/>
      </c>
      <c r="P66" s="37" t="str">
        <f aca="false">IF($A66&lt;&gt;"Seçildi","",IF(OR($G66="",$I66="",$M66=""),"",IF(SUMPRODUCT(($A$7:$A$456="Seçildi")*($G$7:$G$456=$G66)*($I$7:$I$456=$I66)*(ROW($A$7:$A$456)&lt;&gt;66)*($M$7:$M$456&lt;=$N66)*($N$7:$N$456&gt;=$M66))&gt;0,"⚠ Çakışma","OK")))</f>
        <v/>
      </c>
      <c r="Q66" s="37" t="str">
        <f aca="false">IF($A66&lt;&gt;"Seçildi","",IF(OR($L66="",$I66="",$M66=""),"",IF(SUMPRODUCT(($A$7:$A$456="Seçildi")*($L$7:$L$456=$L66)*($I$7:$I$456=$I66)*(ROW($A$7:$A$456)&lt;&gt;66)*($M$7:$M$456&lt;=$N66)*($N$7:$N$456&gt;=$M66))&gt;0,"⚠ Çakışma","OK")))</f>
        <v/>
      </c>
      <c r="R66" s="37" t="str">
        <f aca="false">IF($A66&lt;&gt;"Seçildi","",IF(OR($D66="",$I66="",$M66=""),"",IF(SUMPRODUCT(($A$7:$A$456="Seçildi")*($D$7:$D$456=$D66)*($I$7:$I$456=$I66)*(ROW($A$7:$A$456)&lt;&gt;66)*($M$7:$M$456&lt;=$N66)*($N$7:$N$456&gt;=$M66))&gt;0,"⚠ Çakışma","OK")))</f>
        <v/>
      </c>
      <c r="S66" s="37"/>
      <c r="T66" s="37" t="str">
        <f aca="false">IF(OR($A66&lt;&gt;"Seçildi",AND($I66="",$J66="")),"",IF(OR($O66&lt;&gt;"",$P66="⚠ Çakışma",$Q66="⚠ Çakışma",$R66="⚠ Çakışma"),"⚠ Kontrol Et","✓ Uygun"))</f>
        <v/>
      </c>
    </row>
    <row r="67" customFormat="false" ht="13.5" hidden="false" customHeight="true" outlineLevel="0" collapsed="false">
      <c r="A67" s="33" t="str">
        <f aca="false">'1-Ders Havuzu'!K23</f>
        <v>Seçilmedi</v>
      </c>
      <c r="B67" s="33" t="str">
        <f aca="false">IF($A67="Seçildi",IF('1-Ders Havuzu'!C23="","",'1-Ders Havuzu'!C23),"")</f>
        <v/>
      </c>
      <c r="C67" s="34" t="str">
        <f aca="false">IF($A67="Seçildi",IF('1-Ders Havuzu'!D23="","",'1-Ders Havuzu'!D23),"")</f>
        <v/>
      </c>
      <c r="D67" s="33" t="str">
        <f aca="false">IF($A67="Seçildi",IF('1-Ders Havuzu'!B23="","",'1-Ders Havuzu'!B23),"")</f>
        <v/>
      </c>
      <c r="E67" s="33" t="str">
        <f aca="false">IF($A67="Seçildi",IF('1-Ders Havuzu'!A23="","",'1-Ders Havuzu'!A23),"")</f>
        <v/>
      </c>
      <c r="F67" s="33" t="str">
        <f aca="false">IF($A67="Seçildi",IF('1-Ders Havuzu'!H23="","",'1-Ders Havuzu'!H23),"")</f>
        <v/>
      </c>
      <c r="G67" s="33" t="str">
        <f aca="false">IF($A67="Seçildi",IF('2-Ders-Öğr.Elemanı Eşleştirme'!H23="","",'2-Ders-Öğr.Elemanı Eşleştirme'!H23),"")</f>
        <v/>
      </c>
      <c r="H67" s="35" t="n">
        <v>1</v>
      </c>
      <c r="I67" s="36"/>
      <c r="J67" s="36"/>
      <c r="K67" s="36"/>
      <c r="L67" s="36"/>
      <c r="M67" s="33" t="str">
        <f aca="false">IF($J67="","",MATCH($J67,{"08.00";"09.00";"10.00";"11.00";"12.00";"13.00";"14.00";"15.00";"16.00";"17.00"},0))</f>
        <v/>
      </c>
      <c r="N67" s="33" t="str">
        <f aca="false">IF(OR($M67="",$K67=""),"",$M67+$K67-1)</f>
        <v/>
      </c>
      <c r="O67" s="33" t="str">
        <f aca="false">IF($A67&lt;&gt;"Seçildi","",IF(OR($M67="",$N67=""),"",IF($N67&gt;10,"⚠ Saat Taşıyor","")))</f>
        <v/>
      </c>
      <c r="P67" s="33" t="str">
        <f aca="false">IF($A67&lt;&gt;"Seçildi","",IF(OR($G67="",$I67="",$M67=""),"",IF(SUMPRODUCT(($A$7:$A$456="Seçildi")*($G$7:$G$456=$G67)*($I$7:$I$456=$I67)*(ROW($A$7:$A$456)&lt;&gt;67)*($M$7:$M$456&lt;=$N67)*($N$7:$N$456&gt;=$M67))&gt;0,"⚠ Çakışma","OK")))</f>
        <v/>
      </c>
      <c r="Q67" s="33" t="str">
        <f aca="false">IF($A67&lt;&gt;"Seçildi","",IF(OR($L67="",$I67="",$M67=""),"",IF(SUMPRODUCT(($A$7:$A$456="Seçildi")*($L$7:$L$456=$L67)*($I$7:$I$456=$I67)*(ROW($A$7:$A$456)&lt;&gt;67)*($M$7:$M$456&lt;=$N67)*($N$7:$N$456&gt;=$M67))&gt;0,"⚠ Çakışma","OK")))</f>
        <v/>
      </c>
      <c r="R67" s="33" t="str">
        <f aca="false">IF($A67&lt;&gt;"Seçildi","",IF(OR($D67="",$I67="",$M67=""),"",IF(SUMPRODUCT(($A$7:$A$456="Seçildi")*($D$7:$D$456=$D67)*($I$7:$I$456=$I67)*(ROW($A$7:$A$456)&lt;&gt;67)*($M$7:$M$456&lt;=$N67)*($N$7:$N$456&gt;=$M67))&gt;0,"⚠ Çakışma","OK")))</f>
        <v/>
      </c>
      <c r="S67" s="33" t="str">
        <f aca="false">IF($A67&lt;&gt;"Seçildi","",IF(SUM($K67,$K68,$K69)&lt;&gt;$F67,"⚠ Dağılım: "&amp;SUM($K67:$K69)&amp;"/"&amp;$F67&amp;" saat","✓ Tamam"))</f>
        <v/>
      </c>
      <c r="T67" s="33" t="str">
        <f aca="false">IF($A67&lt;&gt;"Seçildi","",IF(OR($O67&lt;&gt;"",$P67="⚠ Çakışma",$Q67="⚠ Çakışma",$R67="⚠ Çakışma",LEFT($S67&amp;" ",1)="⚠"),"⚠ Kontrol Et","✓ Uygun"))</f>
        <v/>
      </c>
    </row>
    <row r="68" customFormat="false" ht="13.5" hidden="false" customHeight="true" outlineLevel="0" collapsed="false">
      <c r="A68" s="33" t="str">
        <f aca="false">'1-Ders Havuzu'!K23</f>
        <v>Seçilmedi</v>
      </c>
      <c r="B68" s="33" t="str">
        <f aca="false">IF($A68="Seçildi",IF('1-Ders Havuzu'!C23="","",'1-Ders Havuzu'!C23),"")</f>
        <v/>
      </c>
      <c r="C68" s="34" t="str">
        <f aca="false">IF($A68="Seçildi",IF('1-Ders Havuzu'!D23="","",'1-Ders Havuzu'!D23),"")</f>
        <v/>
      </c>
      <c r="D68" s="33" t="str">
        <f aca="false">IF($A68="Seçildi",IF('1-Ders Havuzu'!B23="","",'1-Ders Havuzu'!B23),"")</f>
        <v/>
      </c>
      <c r="E68" s="33" t="str">
        <f aca="false">IF($A68="Seçildi",IF('1-Ders Havuzu'!A23="","",'1-Ders Havuzu'!A23),"")</f>
        <v/>
      </c>
      <c r="F68" s="33" t="str">
        <f aca="false">IF($A68="Seçildi",IF('1-Ders Havuzu'!H23="","",'1-Ders Havuzu'!H23),"")</f>
        <v/>
      </c>
      <c r="G68" s="33" t="str">
        <f aca="false">IF($A68="Seçildi",IF('2-Ders-Öğr.Elemanı Eşleştirme'!H23="","",'2-Ders-Öğr.Elemanı Eşleştirme'!H23),"")</f>
        <v/>
      </c>
      <c r="H68" s="35" t="n">
        <v>2</v>
      </c>
      <c r="I68" s="36"/>
      <c r="J68" s="36"/>
      <c r="K68" s="36"/>
      <c r="L68" s="36"/>
      <c r="M68" s="33" t="str">
        <f aca="false">IF($J68="","",MATCH($J68,{"08.00";"09.00";"10.00";"11.00";"12.00";"13.00";"14.00";"15.00";"16.00";"17.00"},0))</f>
        <v/>
      </c>
      <c r="N68" s="33" t="str">
        <f aca="false">IF(OR($M68="",$K68=""),"",$M68+$K68-1)</f>
        <v/>
      </c>
      <c r="O68" s="33" t="str">
        <f aca="false">IF($A68&lt;&gt;"Seçildi","",IF(OR($M68="",$N68=""),"",IF($N68&gt;10,"⚠ Saat Taşıyor","")))</f>
        <v/>
      </c>
      <c r="P68" s="33" t="str">
        <f aca="false">IF($A68&lt;&gt;"Seçildi","",IF(OR($G68="",$I68="",$M68=""),"",IF(SUMPRODUCT(($A$7:$A$456="Seçildi")*($G$7:$G$456=$G68)*($I$7:$I$456=$I68)*(ROW($A$7:$A$456)&lt;&gt;68)*($M$7:$M$456&lt;=$N68)*($N$7:$N$456&gt;=$M68))&gt;0,"⚠ Çakışma","OK")))</f>
        <v/>
      </c>
      <c r="Q68" s="33" t="str">
        <f aca="false">IF($A68&lt;&gt;"Seçildi","",IF(OR($L68="",$I68="",$M68=""),"",IF(SUMPRODUCT(($A$7:$A$456="Seçildi")*($L$7:$L$456=$L68)*($I$7:$I$456=$I68)*(ROW($A$7:$A$456)&lt;&gt;68)*($M$7:$M$456&lt;=$N68)*($N$7:$N$456&gt;=$M68))&gt;0,"⚠ Çakışma","OK")))</f>
        <v/>
      </c>
      <c r="R68" s="33" t="str">
        <f aca="false">IF($A68&lt;&gt;"Seçildi","",IF(OR($D68="",$I68="",$M68=""),"",IF(SUMPRODUCT(($A$7:$A$456="Seçildi")*($D$7:$D$456=$D68)*($I$7:$I$456=$I68)*(ROW($A$7:$A$456)&lt;&gt;68)*($M$7:$M$456&lt;=$N68)*($N$7:$N$456&gt;=$M68))&gt;0,"⚠ Çakışma","OK")))</f>
        <v/>
      </c>
      <c r="S68" s="33"/>
      <c r="T68" s="33" t="str">
        <f aca="false">IF(OR($A68&lt;&gt;"Seçildi",AND($I68="",$J68="")),"",IF(OR($O68&lt;&gt;"",$P68="⚠ Çakışma",$Q68="⚠ Çakışma",$R68="⚠ Çakışma"),"⚠ Kontrol Et","✓ Uygun"))</f>
        <v/>
      </c>
    </row>
    <row r="69" customFormat="false" ht="13.5" hidden="false" customHeight="true" outlineLevel="0" collapsed="false">
      <c r="A69" s="33" t="str">
        <f aca="false">'1-Ders Havuzu'!K23</f>
        <v>Seçilmedi</v>
      </c>
      <c r="B69" s="33" t="str">
        <f aca="false">IF($A69="Seçildi",IF('1-Ders Havuzu'!C23="","",'1-Ders Havuzu'!C23),"")</f>
        <v/>
      </c>
      <c r="C69" s="34" t="str">
        <f aca="false">IF($A69="Seçildi",IF('1-Ders Havuzu'!D23="","",'1-Ders Havuzu'!D23),"")</f>
        <v/>
      </c>
      <c r="D69" s="33" t="str">
        <f aca="false">IF($A69="Seçildi",IF('1-Ders Havuzu'!B23="","",'1-Ders Havuzu'!B23),"")</f>
        <v/>
      </c>
      <c r="E69" s="33" t="str">
        <f aca="false">IF($A69="Seçildi",IF('1-Ders Havuzu'!A23="","",'1-Ders Havuzu'!A23),"")</f>
        <v/>
      </c>
      <c r="F69" s="33" t="str">
        <f aca="false">IF($A69="Seçildi",IF('1-Ders Havuzu'!H23="","",'1-Ders Havuzu'!H23),"")</f>
        <v/>
      </c>
      <c r="G69" s="33" t="str">
        <f aca="false">IF($A69="Seçildi",IF('2-Ders-Öğr.Elemanı Eşleştirme'!H23="","",'2-Ders-Öğr.Elemanı Eşleştirme'!H23),"")</f>
        <v/>
      </c>
      <c r="H69" s="35" t="n">
        <v>3</v>
      </c>
      <c r="I69" s="36"/>
      <c r="J69" s="36"/>
      <c r="K69" s="36"/>
      <c r="L69" s="36"/>
      <c r="M69" s="33" t="str">
        <f aca="false">IF($J69="","",MATCH($J69,{"08.00";"09.00";"10.00";"11.00";"12.00";"13.00";"14.00";"15.00";"16.00";"17.00"},0))</f>
        <v/>
      </c>
      <c r="N69" s="33" t="str">
        <f aca="false">IF(OR($M69="",$K69=""),"",$M69+$K69-1)</f>
        <v/>
      </c>
      <c r="O69" s="33" t="str">
        <f aca="false">IF($A69&lt;&gt;"Seçildi","",IF(OR($M69="",$N69=""),"",IF($N69&gt;10,"⚠ Saat Taşıyor","")))</f>
        <v/>
      </c>
      <c r="P69" s="33" t="str">
        <f aca="false">IF($A69&lt;&gt;"Seçildi","",IF(OR($G69="",$I69="",$M69=""),"",IF(SUMPRODUCT(($A$7:$A$456="Seçildi")*($G$7:$G$456=$G69)*($I$7:$I$456=$I69)*(ROW($A$7:$A$456)&lt;&gt;69)*($M$7:$M$456&lt;=$N69)*($N$7:$N$456&gt;=$M69))&gt;0,"⚠ Çakışma","OK")))</f>
        <v/>
      </c>
      <c r="Q69" s="33" t="str">
        <f aca="false">IF($A69&lt;&gt;"Seçildi","",IF(OR($L69="",$I69="",$M69=""),"",IF(SUMPRODUCT(($A$7:$A$456="Seçildi")*($L$7:$L$456=$L69)*($I$7:$I$456=$I69)*(ROW($A$7:$A$456)&lt;&gt;69)*($M$7:$M$456&lt;=$N69)*($N$7:$N$456&gt;=$M69))&gt;0,"⚠ Çakışma","OK")))</f>
        <v/>
      </c>
      <c r="R69" s="33" t="str">
        <f aca="false">IF($A69&lt;&gt;"Seçildi","",IF(OR($D69="",$I69="",$M69=""),"",IF(SUMPRODUCT(($A$7:$A$456="Seçildi")*($D$7:$D$456=$D69)*($I$7:$I$456=$I69)*(ROW($A$7:$A$456)&lt;&gt;69)*($M$7:$M$456&lt;=$N69)*($N$7:$N$456&gt;=$M69))&gt;0,"⚠ Çakışma","OK")))</f>
        <v/>
      </c>
      <c r="S69" s="33"/>
      <c r="T69" s="33" t="str">
        <f aca="false">IF(OR($A69&lt;&gt;"Seçildi",AND($I69="",$J69="")),"",IF(OR($O69&lt;&gt;"",$P69="⚠ Çakışma",$Q69="⚠ Çakışma",$R69="⚠ Çakışma"),"⚠ Kontrol Et","✓ Uygun"))</f>
        <v/>
      </c>
    </row>
    <row r="70" customFormat="false" ht="13.5" hidden="false" customHeight="true" outlineLevel="0" collapsed="false">
      <c r="A70" s="37" t="str">
        <f aca="false">'1-Ders Havuzu'!K24</f>
        <v>Seçilmedi</v>
      </c>
      <c r="B70" s="37" t="str">
        <f aca="false">IF($A70="Seçildi",IF('1-Ders Havuzu'!C24="","",'1-Ders Havuzu'!C24),"")</f>
        <v/>
      </c>
      <c r="C70" s="38" t="str">
        <f aca="false">IF($A70="Seçildi",IF('1-Ders Havuzu'!D24="","",'1-Ders Havuzu'!D24),"")</f>
        <v/>
      </c>
      <c r="D70" s="37" t="str">
        <f aca="false">IF($A70="Seçildi",IF('1-Ders Havuzu'!B24="","",'1-Ders Havuzu'!B24),"")</f>
        <v/>
      </c>
      <c r="E70" s="37" t="str">
        <f aca="false">IF($A70="Seçildi",IF('1-Ders Havuzu'!A24="","",'1-Ders Havuzu'!A24),"")</f>
        <v/>
      </c>
      <c r="F70" s="37" t="str">
        <f aca="false">IF($A70="Seçildi",IF('1-Ders Havuzu'!H24="","",'1-Ders Havuzu'!H24),"")</f>
        <v/>
      </c>
      <c r="G70" s="37" t="str">
        <f aca="false">IF($A70="Seçildi",IF('2-Ders-Öğr.Elemanı Eşleştirme'!H24="","",'2-Ders-Öğr.Elemanı Eşleştirme'!H24),"")</f>
        <v/>
      </c>
      <c r="H70" s="39" t="n">
        <v>1</v>
      </c>
      <c r="I70" s="36"/>
      <c r="J70" s="36"/>
      <c r="K70" s="36"/>
      <c r="L70" s="36"/>
      <c r="M70" s="37" t="str">
        <f aca="false">IF($J70="","",MATCH($J70,{"08.00";"09.00";"10.00";"11.00";"12.00";"13.00";"14.00";"15.00";"16.00";"17.00"},0))</f>
        <v/>
      </c>
      <c r="N70" s="37" t="str">
        <f aca="false">IF(OR($M70="",$K70=""),"",$M70+$K70-1)</f>
        <v/>
      </c>
      <c r="O70" s="37" t="str">
        <f aca="false">IF($A70&lt;&gt;"Seçildi","",IF(OR($M70="",$N70=""),"",IF($N70&gt;10,"⚠ Saat Taşıyor","")))</f>
        <v/>
      </c>
      <c r="P70" s="37" t="str">
        <f aca="false">IF($A70&lt;&gt;"Seçildi","",IF(OR($G70="",$I70="",$M70=""),"",IF(SUMPRODUCT(($A$7:$A$456="Seçildi")*($G$7:$G$456=$G70)*($I$7:$I$456=$I70)*(ROW($A$7:$A$456)&lt;&gt;70)*($M$7:$M$456&lt;=$N70)*($N$7:$N$456&gt;=$M70))&gt;0,"⚠ Çakışma","OK")))</f>
        <v/>
      </c>
      <c r="Q70" s="37" t="str">
        <f aca="false">IF($A70&lt;&gt;"Seçildi","",IF(OR($L70="",$I70="",$M70=""),"",IF(SUMPRODUCT(($A$7:$A$456="Seçildi")*($L$7:$L$456=$L70)*($I$7:$I$456=$I70)*(ROW($A$7:$A$456)&lt;&gt;70)*($M$7:$M$456&lt;=$N70)*($N$7:$N$456&gt;=$M70))&gt;0,"⚠ Çakışma","OK")))</f>
        <v/>
      </c>
      <c r="R70" s="37" t="str">
        <f aca="false">IF($A70&lt;&gt;"Seçildi","",IF(OR($D70="",$I70="",$M70=""),"",IF(SUMPRODUCT(($A$7:$A$456="Seçildi")*($D$7:$D$456=$D70)*($I$7:$I$456=$I70)*(ROW($A$7:$A$456)&lt;&gt;70)*($M$7:$M$456&lt;=$N70)*($N$7:$N$456&gt;=$M70))&gt;0,"⚠ Çakışma","OK")))</f>
        <v/>
      </c>
      <c r="S70" s="37" t="str">
        <f aca="false">IF($A70&lt;&gt;"Seçildi","",IF(SUM($K70,$K71,$K72)&lt;&gt;$F70,"⚠ Dağılım: "&amp;SUM($K70:$K72)&amp;"/"&amp;$F70&amp;" saat","✓ Tamam"))</f>
        <v/>
      </c>
      <c r="T70" s="37" t="str">
        <f aca="false">IF($A70&lt;&gt;"Seçildi","",IF(OR($O70&lt;&gt;"",$P70="⚠ Çakışma",$Q70="⚠ Çakışma",$R70="⚠ Çakışma",LEFT($S70&amp;" ",1)="⚠"),"⚠ Kontrol Et","✓ Uygun"))</f>
        <v/>
      </c>
    </row>
    <row r="71" customFormat="false" ht="13.5" hidden="false" customHeight="true" outlineLevel="0" collapsed="false">
      <c r="A71" s="37" t="str">
        <f aca="false">'1-Ders Havuzu'!K24</f>
        <v>Seçilmedi</v>
      </c>
      <c r="B71" s="37" t="str">
        <f aca="false">IF($A71="Seçildi",IF('1-Ders Havuzu'!C24="","",'1-Ders Havuzu'!C24),"")</f>
        <v/>
      </c>
      <c r="C71" s="38" t="str">
        <f aca="false">IF($A71="Seçildi",IF('1-Ders Havuzu'!D24="","",'1-Ders Havuzu'!D24),"")</f>
        <v/>
      </c>
      <c r="D71" s="37" t="str">
        <f aca="false">IF($A71="Seçildi",IF('1-Ders Havuzu'!B24="","",'1-Ders Havuzu'!B24),"")</f>
        <v/>
      </c>
      <c r="E71" s="37" t="str">
        <f aca="false">IF($A71="Seçildi",IF('1-Ders Havuzu'!A24="","",'1-Ders Havuzu'!A24),"")</f>
        <v/>
      </c>
      <c r="F71" s="37" t="str">
        <f aca="false">IF($A71="Seçildi",IF('1-Ders Havuzu'!H24="","",'1-Ders Havuzu'!H24),"")</f>
        <v/>
      </c>
      <c r="G71" s="37" t="str">
        <f aca="false">IF($A71="Seçildi",IF('2-Ders-Öğr.Elemanı Eşleştirme'!H24="","",'2-Ders-Öğr.Elemanı Eşleştirme'!H24),"")</f>
        <v/>
      </c>
      <c r="H71" s="39" t="n">
        <v>2</v>
      </c>
      <c r="I71" s="36"/>
      <c r="J71" s="36"/>
      <c r="K71" s="36"/>
      <c r="L71" s="36"/>
      <c r="M71" s="37" t="str">
        <f aca="false">IF($J71="","",MATCH($J71,{"08.00";"09.00";"10.00";"11.00";"12.00";"13.00";"14.00";"15.00";"16.00";"17.00"},0))</f>
        <v/>
      </c>
      <c r="N71" s="37" t="str">
        <f aca="false">IF(OR($M71="",$K71=""),"",$M71+$K71-1)</f>
        <v/>
      </c>
      <c r="O71" s="37" t="str">
        <f aca="false">IF($A71&lt;&gt;"Seçildi","",IF(OR($M71="",$N71=""),"",IF($N71&gt;10,"⚠ Saat Taşıyor","")))</f>
        <v/>
      </c>
      <c r="P71" s="37" t="str">
        <f aca="false">IF($A71&lt;&gt;"Seçildi","",IF(OR($G71="",$I71="",$M71=""),"",IF(SUMPRODUCT(($A$7:$A$456="Seçildi")*($G$7:$G$456=$G71)*($I$7:$I$456=$I71)*(ROW($A$7:$A$456)&lt;&gt;71)*($M$7:$M$456&lt;=$N71)*($N$7:$N$456&gt;=$M71))&gt;0,"⚠ Çakışma","OK")))</f>
        <v/>
      </c>
      <c r="Q71" s="37" t="str">
        <f aca="false">IF($A71&lt;&gt;"Seçildi","",IF(OR($L71="",$I71="",$M71=""),"",IF(SUMPRODUCT(($A$7:$A$456="Seçildi")*($L$7:$L$456=$L71)*($I$7:$I$456=$I71)*(ROW($A$7:$A$456)&lt;&gt;71)*($M$7:$M$456&lt;=$N71)*($N$7:$N$456&gt;=$M71))&gt;0,"⚠ Çakışma","OK")))</f>
        <v/>
      </c>
      <c r="R71" s="37" t="str">
        <f aca="false">IF($A71&lt;&gt;"Seçildi","",IF(OR($D71="",$I71="",$M71=""),"",IF(SUMPRODUCT(($A$7:$A$456="Seçildi")*($D$7:$D$456=$D71)*($I$7:$I$456=$I71)*(ROW($A$7:$A$456)&lt;&gt;71)*($M$7:$M$456&lt;=$N71)*($N$7:$N$456&gt;=$M71))&gt;0,"⚠ Çakışma","OK")))</f>
        <v/>
      </c>
      <c r="S71" s="37"/>
      <c r="T71" s="37" t="str">
        <f aca="false">IF(OR($A71&lt;&gt;"Seçildi",AND($I71="",$J71="")),"",IF(OR($O71&lt;&gt;"",$P71="⚠ Çakışma",$Q71="⚠ Çakışma",$R71="⚠ Çakışma"),"⚠ Kontrol Et","✓ Uygun"))</f>
        <v/>
      </c>
    </row>
    <row r="72" customFormat="false" ht="13.5" hidden="false" customHeight="true" outlineLevel="0" collapsed="false">
      <c r="A72" s="37" t="str">
        <f aca="false">'1-Ders Havuzu'!K24</f>
        <v>Seçilmedi</v>
      </c>
      <c r="B72" s="37" t="str">
        <f aca="false">IF($A72="Seçildi",IF('1-Ders Havuzu'!C24="","",'1-Ders Havuzu'!C24),"")</f>
        <v/>
      </c>
      <c r="C72" s="38" t="str">
        <f aca="false">IF($A72="Seçildi",IF('1-Ders Havuzu'!D24="","",'1-Ders Havuzu'!D24),"")</f>
        <v/>
      </c>
      <c r="D72" s="37" t="str">
        <f aca="false">IF($A72="Seçildi",IF('1-Ders Havuzu'!B24="","",'1-Ders Havuzu'!B24),"")</f>
        <v/>
      </c>
      <c r="E72" s="37" t="str">
        <f aca="false">IF($A72="Seçildi",IF('1-Ders Havuzu'!A24="","",'1-Ders Havuzu'!A24),"")</f>
        <v/>
      </c>
      <c r="F72" s="37" t="str">
        <f aca="false">IF($A72="Seçildi",IF('1-Ders Havuzu'!H24="","",'1-Ders Havuzu'!H24),"")</f>
        <v/>
      </c>
      <c r="G72" s="37" t="str">
        <f aca="false">IF($A72="Seçildi",IF('2-Ders-Öğr.Elemanı Eşleştirme'!H24="","",'2-Ders-Öğr.Elemanı Eşleştirme'!H24),"")</f>
        <v/>
      </c>
      <c r="H72" s="39" t="n">
        <v>3</v>
      </c>
      <c r="I72" s="36"/>
      <c r="J72" s="36"/>
      <c r="K72" s="36"/>
      <c r="L72" s="36"/>
      <c r="M72" s="37" t="str">
        <f aca="false">IF($J72="","",MATCH($J72,{"08.00";"09.00";"10.00";"11.00";"12.00";"13.00";"14.00";"15.00";"16.00";"17.00"},0))</f>
        <v/>
      </c>
      <c r="N72" s="37" t="str">
        <f aca="false">IF(OR($M72="",$K72=""),"",$M72+$K72-1)</f>
        <v/>
      </c>
      <c r="O72" s="37" t="str">
        <f aca="false">IF($A72&lt;&gt;"Seçildi","",IF(OR($M72="",$N72=""),"",IF($N72&gt;10,"⚠ Saat Taşıyor","")))</f>
        <v/>
      </c>
      <c r="P72" s="37" t="str">
        <f aca="false">IF($A72&lt;&gt;"Seçildi","",IF(OR($G72="",$I72="",$M72=""),"",IF(SUMPRODUCT(($A$7:$A$456="Seçildi")*($G$7:$G$456=$G72)*($I$7:$I$456=$I72)*(ROW($A$7:$A$456)&lt;&gt;72)*($M$7:$M$456&lt;=$N72)*($N$7:$N$456&gt;=$M72))&gt;0,"⚠ Çakışma","OK")))</f>
        <v/>
      </c>
      <c r="Q72" s="37" t="str">
        <f aca="false">IF($A72&lt;&gt;"Seçildi","",IF(OR($L72="",$I72="",$M72=""),"",IF(SUMPRODUCT(($A$7:$A$456="Seçildi")*($L$7:$L$456=$L72)*($I$7:$I$456=$I72)*(ROW($A$7:$A$456)&lt;&gt;72)*($M$7:$M$456&lt;=$N72)*($N$7:$N$456&gt;=$M72))&gt;0,"⚠ Çakışma","OK")))</f>
        <v/>
      </c>
      <c r="R72" s="37" t="str">
        <f aca="false">IF($A72&lt;&gt;"Seçildi","",IF(OR($D72="",$I72="",$M72=""),"",IF(SUMPRODUCT(($A$7:$A$456="Seçildi")*($D$7:$D$456=$D72)*($I$7:$I$456=$I72)*(ROW($A$7:$A$456)&lt;&gt;72)*($M$7:$M$456&lt;=$N72)*($N$7:$N$456&gt;=$M72))&gt;0,"⚠ Çakışma","OK")))</f>
        <v/>
      </c>
      <c r="S72" s="37"/>
      <c r="T72" s="37" t="str">
        <f aca="false">IF(OR($A72&lt;&gt;"Seçildi",AND($I72="",$J72="")),"",IF(OR($O72&lt;&gt;"",$P72="⚠ Çakışma",$Q72="⚠ Çakışma",$R72="⚠ Çakışma"),"⚠ Kontrol Et","✓ Uygun"))</f>
        <v/>
      </c>
    </row>
    <row r="73" customFormat="false" ht="13.5" hidden="false" customHeight="true" outlineLevel="0" collapsed="false">
      <c r="A73" s="33" t="str">
        <f aca="false">'1-Ders Havuzu'!K25</f>
        <v>Seçilmedi</v>
      </c>
      <c r="B73" s="33" t="str">
        <f aca="false">IF($A73="Seçildi",IF('1-Ders Havuzu'!C25="","",'1-Ders Havuzu'!C25),"")</f>
        <v/>
      </c>
      <c r="C73" s="34" t="str">
        <f aca="false">IF($A73="Seçildi",IF('1-Ders Havuzu'!D25="","",'1-Ders Havuzu'!D25),"")</f>
        <v/>
      </c>
      <c r="D73" s="33" t="str">
        <f aca="false">IF($A73="Seçildi",IF('1-Ders Havuzu'!B25="","",'1-Ders Havuzu'!B25),"")</f>
        <v/>
      </c>
      <c r="E73" s="33" t="str">
        <f aca="false">IF($A73="Seçildi",IF('1-Ders Havuzu'!A25="","",'1-Ders Havuzu'!A25),"")</f>
        <v/>
      </c>
      <c r="F73" s="33" t="str">
        <f aca="false">IF($A73="Seçildi",IF('1-Ders Havuzu'!H25="","",'1-Ders Havuzu'!H25),"")</f>
        <v/>
      </c>
      <c r="G73" s="33" t="str">
        <f aca="false">IF($A73="Seçildi",IF('2-Ders-Öğr.Elemanı Eşleştirme'!H25="","",'2-Ders-Öğr.Elemanı Eşleştirme'!H25),"")</f>
        <v/>
      </c>
      <c r="H73" s="35" t="n">
        <v>1</v>
      </c>
      <c r="I73" s="36"/>
      <c r="J73" s="36"/>
      <c r="K73" s="36"/>
      <c r="L73" s="36"/>
      <c r="M73" s="33" t="str">
        <f aca="false">IF($J73="","",MATCH($J73,{"08.00";"09.00";"10.00";"11.00";"12.00";"13.00";"14.00";"15.00";"16.00";"17.00"},0))</f>
        <v/>
      </c>
      <c r="N73" s="33" t="str">
        <f aca="false">IF(OR($M73="",$K73=""),"",$M73+$K73-1)</f>
        <v/>
      </c>
      <c r="O73" s="33" t="str">
        <f aca="false">IF($A73&lt;&gt;"Seçildi","",IF(OR($M73="",$N73=""),"",IF($N73&gt;10,"⚠ Saat Taşıyor","")))</f>
        <v/>
      </c>
      <c r="P73" s="33" t="str">
        <f aca="false">IF($A73&lt;&gt;"Seçildi","",IF(OR($G73="",$I73="",$M73=""),"",IF(SUMPRODUCT(($A$7:$A$456="Seçildi")*($G$7:$G$456=$G73)*($I$7:$I$456=$I73)*(ROW($A$7:$A$456)&lt;&gt;73)*($M$7:$M$456&lt;=$N73)*($N$7:$N$456&gt;=$M73))&gt;0,"⚠ Çakışma","OK")))</f>
        <v/>
      </c>
      <c r="Q73" s="33" t="str">
        <f aca="false">IF($A73&lt;&gt;"Seçildi","",IF(OR($L73="",$I73="",$M73=""),"",IF(SUMPRODUCT(($A$7:$A$456="Seçildi")*($L$7:$L$456=$L73)*($I$7:$I$456=$I73)*(ROW($A$7:$A$456)&lt;&gt;73)*($M$7:$M$456&lt;=$N73)*($N$7:$N$456&gt;=$M73))&gt;0,"⚠ Çakışma","OK")))</f>
        <v/>
      </c>
      <c r="R73" s="33" t="str">
        <f aca="false">IF($A73&lt;&gt;"Seçildi","",IF(OR($D73="",$I73="",$M73=""),"",IF(SUMPRODUCT(($A$7:$A$456="Seçildi")*($D$7:$D$456=$D73)*($I$7:$I$456=$I73)*(ROW($A$7:$A$456)&lt;&gt;73)*($M$7:$M$456&lt;=$N73)*($N$7:$N$456&gt;=$M73))&gt;0,"⚠ Çakışma","OK")))</f>
        <v/>
      </c>
      <c r="S73" s="33" t="str">
        <f aca="false">IF($A73&lt;&gt;"Seçildi","",IF(SUM($K73,$K74,$K75)&lt;&gt;$F73,"⚠ Dağılım: "&amp;SUM($K73:$K75)&amp;"/"&amp;$F73&amp;" saat","✓ Tamam"))</f>
        <v/>
      </c>
      <c r="T73" s="33" t="str">
        <f aca="false">IF($A73&lt;&gt;"Seçildi","",IF(OR($O73&lt;&gt;"",$P73="⚠ Çakışma",$Q73="⚠ Çakışma",$R73="⚠ Çakışma",LEFT($S73&amp;" ",1)="⚠"),"⚠ Kontrol Et","✓ Uygun"))</f>
        <v/>
      </c>
    </row>
    <row r="74" customFormat="false" ht="13.5" hidden="false" customHeight="true" outlineLevel="0" collapsed="false">
      <c r="A74" s="33" t="str">
        <f aca="false">'1-Ders Havuzu'!K25</f>
        <v>Seçilmedi</v>
      </c>
      <c r="B74" s="33" t="str">
        <f aca="false">IF($A74="Seçildi",IF('1-Ders Havuzu'!C25="","",'1-Ders Havuzu'!C25),"")</f>
        <v/>
      </c>
      <c r="C74" s="34" t="str">
        <f aca="false">IF($A74="Seçildi",IF('1-Ders Havuzu'!D25="","",'1-Ders Havuzu'!D25),"")</f>
        <v/>
      </c>
      <c r="D74" s="33" t="str">
        <f aca="false">IF($A74="Seçildi",IF('1-Ders Havuzu'!B25="","",'1-Ders Havuzu'!B25),"")</f>
        <v/>
      </c>
      <c r="E74" s="33" t="str">
        <f aca="false">IF($A74="Seçildi",IF('1-Ders Havuzu'!A25="","",'1-Ders Havuzu'!A25),"")</f>
        <v/>
      </c>
      <c r="F74" s="33" t="str">
        <f aca="false">IF($A74="Seçildi",IF('1-Ders Havuzu'!H25="","",'1-Ders Havuzu'!H25),"")</f>
        <v/>
      </c>
      <c r="G74" s="33" t="str">
        <f aca="false">IF($A74="Seçildi",IF('2-Ders-Öğr.Elemanı Eşleştirme'!H25="","",'2-Ders-Öğr.Elemanı Eşleştirme'!H25),"")</f>
        <v/>
      </c>
      <c r="H74" s="35" t="n">
        <v>2</v>
      </c>
      <c r="I74" s="36"/>
      <c r="J74" s="36"/>
      <c r="K74" s="36"/>
      <c r="L74" s="36"/>
      <c r="M74" s="33" t="str">
        <f aca="false">IF($J74="","",MATCH($J74,{"08.00";"09.00";"10.00";"11.00";"12.00";"13.00";"14.00";"15.00";"16.00";"17.00"},0))</f>
        <v/>
      </c>
      <c r="N74" s="33" t="str">
        <f aca="false">IF(OR($M74="",$K74=""),"",$M74+$K74-1)</f>
        <v/>
      </c>
      <c r="O74" s="33" t="str">
        <f aca="false">IF($A74&lt;&gt;"Seçildi","",IF(OR($M74="",$N74=""),"",IF($N74&gt;10,"⚠ Saat Taşıyor","")))</f>
        <v/>
      </c>
      <c r="P74" s="33" t="str">
        <f aca="false">IF($A74&lt;&gt;"Seçildi","",IF(OR($G74="",$I74="",$M74=""),"",IF(SUMPRODUCT(($A$7:$A$456="Seçildi")*($G$7:$G$456=$G74)*($I$7:$I$456=$I74)*(ROW($A$7:$A$456)&lt;&gt;74)*($M$7:$M$456&lt;=$N74)*($N$7:$N$456&gt;=$M74))&gt;0,"⚠ Çakışma","OK")))</f>
        <v/>
      </c>
      <c r="Q74" s="33" t="str">
        <f aca="false">IF($A74&lt;&gt;"Seçildi","",IF(OR($L74="",$I74="",$M74=""),"",IF(SUMPRODUCT(($A$7:$A$456="Seçildi")*($L$7:$L$456=$L74)*($I$7:$I$456=$I74)*(ROW($A$7:$A$456)&lt;&gt;74)*($M$7:$M$456&lt;=$N74)*($N$7:$N$456&gt;=$M74))&gt;0,"⚠ Çakışma","OK")))</f>
        <v/>
      </c>
      <c r="R74" s="33" t="str">
        <f aca="false">IF($A74&lt;&gt;"Seçildi","",IF(OR($D74="",$I74="",$M74=""),"",IF(SUMPRODUCT(($A$7:$A$456="Seçildi")*($D$7:$D$456=$D74)*($I$7:$I$456=$I74)*(ROW($A$7:$A$456)&lt;&gt;74)*($M$7:$M$456&lt;=$N74)*($N$7:$N$456&gt;=$M74))&gt;0,"⚠ Çakışma","OK")))</f>
        <v/>
      </c>
      <c r="S74" s="33"/>
      <c r="T74" s="33" t="str">
        <f aca="false">IF(OR($A74&lt;&gt;"Seçildi",AND($I74="",$J74="")),"",IF(OR($O74&lt;&gt;"",$P74="⚠ Çakışma",$Q74="⚠ Çakışma",$R74="⚠ Çakışma"),"⚠ Kontrol Et","✓ Uygun"))</f>
        <v/>
      </c>
    </row>
    <row r="75" customFormat="false" ht="13.5" hidden="false" customHeight="true" outlineLevel="0" collapsed="false">
      <c r="A75" s="33" t="str">
        <f aca="false">'1-Ders Havuzu'!K25</f>
        <v>Seçilmedi</v>
      </c>
      <c r="B75" s="33" t="str">
        <f aca="false">IF($A75="Seçildi",IF('1-Ders Havuzu'!C25="","",'1-Ders Havuzu'!C25),"")</f>
        <v/>
      </c>
      <c r="C75" s="34" t="str">
        <f aca="false">IF($A75="Seçildi",IF('1-Ders Havuzu'!D25="","",'1-Ders Havuzu'!D25),"")</f>
        <v/>
      </c>
      <c r="D75" s="33" t="str">
        <f aca="false">IF($A75="Seçildi",IF('1-Ders Havuzu'!B25="","",'1-Ders Havuzu'!B25),"")</f>
        <v/>
      </c>
      <c r="E75" s="33" t="str">
        <f aca="false">IF($A75="Seçildi",IF('1-Ders Havuzu'!A25="","",'1-Ders Havuzu'!A25),"")</f>
        <v/>
      </c>
      <c r="F75" s="33" t="str">
        <f aca="false">IF($A75="Seçildi",IF('1-Ders Havuzu'!H25="","",'1-Ders Havuzu'!H25),"")</f>
        <v/>
      </c>
      <c r="G75" s="33" t="str">
        <f aca="false">IF($A75="Seçildi",IF('2-Ders-Öğr.Elemanı Eşleştirme'!H25="","",'2-Ders-Öğr.Elemanı Eşleştirme'!H25),"")</f>
        <v/>
      </c>
      <c r="H75" s="35" t="n">
        <v>3</v>
      </c>
      <c r="I75" s="36"/>
      <c r="J75" s="36"/>
      <c r="K75" s="36"/>
      <c r="L75" s="36"/>
      <c r="M75" s="33" t="str">
        <f aca="false">IF($J75="","",MATCH($J75,{"08.00";"09.00";"10.00";"11.00";"12.00";"13.00";"14.00";"15.00";"16.00";"17.00"},0))</f>
        <v/>
      </c>
      <c r="N75" s="33" t="str">
        <f aca="false">IF(OR($M75="",$K75=""),"",$M75+$K75-1)</f>
        <v/>
      </c>
      <c r="O75" s="33" t="str">
        <f aca="false">IF($A75&lt;&gt;"Seçildi","",IF(OR($M75="",$N75=""),"",IF($N75&gt;10,"⚠ Saat Taşıyor","")))</f>
        <v/>
      </c>
      <c r="P75" s="33" t="str">
        <f aca="false">IF($A75&lt;&gt;"Seçildi","",IF(OR($G75="",$I75="",$M75=""),"",IF(SUMPRODUCT(($A$7:$A$456="Seçildi")*($G$7:$G$456=$G75)*($I$7:$I$456=$I75)*(ROW($A$7:$A$456)&lt;&gt;75)*($M$7:$M$456&lt;=$N75)*($N$7:$N$456&gt;=$M75))&gt;0,"⚠ Çakışma","OK")))</f>
        <v/>
      </c>
      <c r="Q75" s="33" t="str">
        <f aca="false">IF($A75&lt;&gt;"Seçildi","",IF(OR($L75="",$I75="",$M75=""),"",IF(SUMPRODUCT(($A$7:$A$456="Seçildi")*($L$7:$L$456=$L75)*($I$7:$I$456=$I75)*(ROW($A$7:$A$456)&lt;&gt;75)*($M$7:$M$456&lt;=$N75)*($N$7:$N$456&gt;=$M75))&gt;0,"⚠ Çakışma","OK")))</f>
        <v/>
      </c>
      <c r="R75" s="33" t="str">
        <f aca="false">IF($A75&lt;&gt;"Seçildi","",IF(OR($D75="",$I75="",$M75=""),"",IF(SUMPRODUCT(($A$7:$A$456="Seçildi")*($D$7:$D$456=$D75)*($I$7:$I$456=$I75)*(ROW($A$7:$A$456)&lt;&gt;75)*($M$7:$M$456&lt;=$N75)*($N$7:$N$456&gt;=$M75))&gt;0,"⚠ Çakışma","OK")))</f>
        <v/>
      </c>
      <c r="S75" s="33"/>
      <c r="T75" s="33" t="str">
        <f aca="false">IF(OR($A75&lt;&gt;"Seçildi",AND($I75="",$J75="")),"",IF(OR($O75&lt;&gt;"",$P75="⚠ Çakışma",$Q75="⚠ Çakışma",$R75="⚠ Çakışma"),"⚠ Kontrol Et","✓ Uygun"))</f>
        <v/>
      </c>
    </row>
    <row r="76" customFormat="false" ht="13.5" hidden="false" customHeight="true" outlineLevel="0" collapsed="false">
      <c r="A76" s="37" t="str">
        <f aca="false">'1-Ders Havuzu'!K26</f>
        <v>Seçilmedi</v>
      </c>
      <c r="B76" s="37" t="str">
        <f aca="false">IF($A76="Seçildi",IF('1-Ders Havuzu'!C26="","",'1-Ders Havuzu'!C26),"")</f>
        <v/>
      </c>
      <c r="C76" s="38" t="str">
        <f aca="false">IF($A76="Seçildi",IF('1-Ders Havuzu'!D26="","",'1-Ders Havuzu'!D26),"")</f>
        <v/>
      </c>
      <c r="D76" s="37" t="str">
        <f aca="false">IF($A76="Seçildi",IF('1-Ders Havuzu'!B26="","",'1-Ders Havuzu'!B26),"")</f>
        <v/>
      </c>
      <c r="E76" s="37" t="str">
        <f aca="false">IF($A76="Seçildi",IF('1-Ders Havuzu'!A26="","",'1-Ders Havuzu'!A26),"")</f>
        <v/>
      </c>
      <c r="F76" s="37" t="str">
        <f aca="false">IF($A76="Seçildi",IF('1-Ders Havuzu'!H26="","",'1-Ders Havuzu'!H26),"")</f>
        <v/>
      </c>
      <c r="G76" s="37" t="str">
        <f aca="false">IF($A76="Seçildi",IF('2-Ders-Öğr.Elemanı Eşleştirme'!H26="","",'2-Ders-Öğr.Elemanı Eşleştirme'!H26),"")</f>
        <v/>
      </c>
      <c r="H76" s="39" t="n">
        <v>1</v>
      </c>
      <c r="I76" s="36"/>
      <c r="J76" s="36"/>
      <c r="K76" s="36"/>
      <c r="L76" s="36"/>
      <c r="M76" s="37" t="str">
        <f aca="false">IF($J76="","",MATCH($J76,{"08.00";"09.00";"10.00";"11.00";"12.00";"13.00";"14.00";"15.00";"16.00";"17.00"},0))</f>
        <v/>
      </c>
      <c r="N76" s="37" t="str">
        <f aca="false">IF(OR($M76="",$K76=""),"",$M76+$K76-1)</f>
        <v/>
      </c>
      <c r="O76" s="37" t="str">
        <f aca="false">IF($A76&lt;&gt;"Seçildi","",IF(OR($M76="",$N76=""),"",IF($N76&gt;10,"⚠ Saat Taşıyor","")))</f>
        <v/>
      </c>
      <c r="P76" s="37" t="str">
        <f aca="false">IF($A76&lt;&gt;"Seçildi","",IF(OR($G76="",$I76="",$M76=""),"",IF(SUMPRODUCT(($A$7:$A$456="Seçildi")*($G$7:$G$456=$G76)*($I$7:$I$456=$I76)*(ROW($A$7:$A$456)&lt;&gt;76)*($M$7:$M$456&lt;=$N76)*($N$7:$N$456&gt;=$M76))&gt;0,"⚠ Çakışma","OK")))</f>
        <v/>
      </c>
      <c r="Q76" s="37" t="str">
        <f aca="false">IF($A76&lt;&gt;"Seçildi","",IF(OR($L76="",$I76="",$M76=""),"",IF(SUMPRODUCT(($A$7:$A$456="Seçildi")*($L$7:$L$456=$L76)*($I$7:$I$456=$I76)*(ROW($A$7:$A$456)&lt;&gt;76)*($M$7:$M$456&lt;=$N76)*($N$7:$N$456&gt;=$M76))&gt;0,"⚠ Çakışma","OK")))</f>
        <v/>
      </c>
      <c r="R76" s="37" t="str">
        <f aca="false">IF($A76&lt;&gt;"Seçildi","",IF(OR($D76="",$I76="",$M76=""),"",IF(SUMPRODUCT(($A$7:$A$456="Seçildi")*($D$7:$D$456=$D76)*($I$7:$I$456=$I76)*(ROW($A$7:$A$456)&lt;&gt;76)*($M$7:$M$456&lt;=$N76)*($N$7:$N$456&gt;=$M76))&gt;0,"⚠ Çakışma","OK")))</f>
        <v/>
      </c>
      <c r="S76" s="37" t="str">
        <f aca="false">IF($A76&lt;&gt;"Seçildi","",IF(SUM($K76,$K77,$K78)&lt;&gt;$F76,"⚠ Dağılım: "&amp;SUM($K76:$K78)&amp;"/"&amp;$F76&amp;" saat","✓ Tamam"))</f>
        <v/>
      </c>
      <c r="T76" s="37" t="str">
        <f aca="false">IF($A76&lt;&gt;"Seçildi","",IF(OR($O76&lt;&gt;"",$P76="⚠ Çakışma",$Q76="⚠ Çakışma",$R76="⚠ Çakışma",LEFT($S76&amp;" ",1)="⚠"),"⚠ Kontrol Et","✓ Uygun"))</f>
        <v/>
      </c>
    </row>
    <row r="77" customFormat="false" ht="13.5" hidden="false" customHeight="true" outlineLevel="0" collapsed="false">
      <c r="A77" s="37" t="str">
        <f aca="false">'1-Ders Havuzu'!K26</f>
        <v>Seçilmedi</v>
      </c>
      <c r="B77" s="37" t="str">
        <f aca="false">IF($A77="Seçildi",IF('1-Ders Havuzu'!C26="","",'1-Ders Havuzu'!C26),"")</f>
        <v/>
      </c>
      <c r="C77" s="38" t="str">
        <f aca="false">IF($A77="Seçildi",IF('1-Ders Havuzu'!D26="","",'1-Ders Havuzu'!D26),"")</f>
        <v/>
      </c>
      <c r="D77" s="37" t="str">
        <f aca="false">IF($A77="Seçildi",IF('1-Ders Havuzu'!B26="","",'1-Ders Havuzu'!B26),"")</f>
        <v/>
      </c>
      <c r="E77" s="37" t="str">
        <f aca="false">IF($A77="Seçildi",IF('1-Ders Havuzu'!A26="","",'1-Ders Havuzu'!A26),"")</f>
        <v/>
      </c>
      <c r="F77" s="37" t="str">
        <f aca="false">IF($A77="Seçildi",IF('1-Ders Havuzu'!H26="","",'1-Ders Havuzu'!H26),"")</f>
        <v/>
      </c>
      <c r="G77" s="37" t="str">
        <f aca="false">IF($A77="Seçildi",IF('2-Ders-Öğr.Elemanı Eşleştirme'!H26="","",'2-Ders-Öğr.Elemanı Eşleştirme'!H26),"")</f>
        <v/>
      </c>
      <c r="H77" s="39" t="n">
        <v>2</v>
      </c>
      <c r="I77" s="36"/>
      <c r="J77" s="36"/>
      <c r="K77" s="36"/>
      <c r="L77" s="36"/>
      <c r="M77" s="37" t="str">
        <f aca="false">IF($J77="","",MATCH($J77,{"08.00";"09.00";"10.00";"11.00";"12.00";"13.00";"14.00";"15.00";"16.00";"17.00"},0))</f>
        <v/>
      </c>
      <c r="N77" s="37" t="str">
        <f aca="false">IF(OR($M77="",$K77=""),"",$M77+$K77-1)</f>
        <v/>
      </c>
      <c r="O77" s="37" t="str">
        <f aca="false">IF($A77&lt;&gt;"Seçildi","",IF(OR($M77="",$N77=""),"",IF($N77&gt;10,"⚠ Saat Taşıyor","")))</f>
        <v/>
      </c>
      <c r="P77" s="37" t="str">
        <f aca="false">IF($A77&lt;&gt;"Seçildi","",IF(OR($G77="",$I77="",$M77=""),"",IF(SUMPRODUCT(($A$7:$A$456="Seçildi")*($G$7:$G$456=$G77)*($I$7:$I$456=$I77)*(ROW($A$7:$A$456)&lt;&gt;77)*($M$7:$M$456&lt;=$N77)*($N$7:$N$456&gt;=$M77))&gt;0,"⚠ Çakışma","OK")))</f>
        <v/>
      </c>
      <c r="Q77" s="37" t="str">
        <f aca="false">IF($A77&lt;&gt;"Seçildi","",IF(OR($L77="",$I77="",$M77=""),"",IF(SUMPRODUCT(($A$7:$A$456="Seçildi")*($L$7:$L$456=$L77)*($I$7:$I$456=$I77)*(ROW($A$7:$A$456)&lt;&gt;77)*($M$7:$M$456&lt;=$N77)*($N$7:$N$456&gt;=$M77))&gt;0,"⚠ Çakışma","OK")))</f>
        <v/>
      </c>
      <c r="R77" s="37" t="str">
        <f aca="false">IF($A77&lt;&gt;"Seçildi","",IF(OR($D77="",$I77="",$M77=""),"",IF(SUMPRODUCT(($A$7:$A$456="Seçildi")*($D$7:$D$456=$D77)*($I$7:$I$456=$I77)*(ROW($A$7:$A$456)&lt;&gt;77)*($M$7:$M$456&lt;=$N77)*($N$7:$N$456&gt;=$M77))&gt;0,"⚠ Çakışma","OK")))</f>
        <v/>
      </c>
      <c r="S77" s="37"/>
      <c r="T77" s="37" t="str">
        <f aca="false">IF(OR($A77&lt;&gt;"Seçildi",AND($I77="",$J77="")),"",IF(OR($O77&lt;&gt;"",$P77="⚠ Çakışma",$Q77="⚠ Çakışma",$R77="⚠ Çakışma"),"⚠ Kontrol Et","✓ Uygun"))</f>
        <v/>
      </c>
    </row>
    <row r="78" customFormat="false" ht="13.5" hidden="false" customHeight="true" outlineLevel="0" collapsed="false">
      <c r="A78" s="37" t="str">
        <f aca="false">'1-Ders Havuzu'!K26</f>
        <v>Seçilmedi</v>
      </c>
      <c r="B78" s="37" t="str">
        <f aca="false">IF($A78="Seçildi",IF('1-Ders Havuzu'!C26="","",'1-Ders Havuzu'!C26),"")</f>
        <v/>
      </c>
      <c r="C78" s="38" t="str">
        <f aca="false">IF($A78="Seçildi",IF('1-Ders Havuzu'!D26="","",'1-Ders Havuzu'!D26),"")</f>
        <v/>
      </c>
      <c r="D78" s="37" t="str">
        <f aca="false">IF($A78="Seçildi",IF('1-Ders Havuzu'!B26="","",'1-Ders Havuzu'!B26),"")</f>
        <v/>
      </c>
      <c r="E78" s="37" t="str">
        <f aca="false">IF($A78="Seçildi",IF('1-Ders Havuzu'!A26="","",'1-Ders Havuzu'!A26),"")</f>
        <v/>
      </c>
      <c r="F78" s="37" t="str">
        <f aca="false">IF($A78="Seçildi",IF('1-Ders Havuzu'!H26="","",'1-Ders Havuzu'!H26),"")</f>
        <v/>
      </c>
      <c r="G78" s="37" t="str">
        <f aca="false">IF($A78="Seçildi",IF('2-Ders-Öğr.Elemanı Eşleştirme'!H26="","",'2-Ders-Öğr.Elemanı Eşleştirme'!H26),"")</f>
        <v/>
      </c>
      <c r="H78" s="39" t="n">
        <v>3</v>
      </c>
      <c r="I78" s="36"/>
      <c r="J78" s="36"/>
      <c r="K78" s="36"/>
      <c r="L78" s="36"/>
      <c r="M78" s="37" t="str">
        <f aca="false">IF($J78="","",MATCH($J78,{"08.00";"09.00";"10.00";"11.00";"12.00";"13.00";"14.00";"15.00";"16.00";"17.00"},0))</f>
        <v/>
      </c>
      <c r="N78" s="37" t="str">
        <f aca="false">IF(OR($M78="",$K78=""),"",$M78+$K78-1)</f>
        <v/>
      </c>
      <c r="O78" s="37" t="str">
        <f aca="false">IF($A78&lt;&gt;"Seçildi","",IF(OR($M78="",$N78=""),"",IF($N78&gt;10,"⚠ Saat Taşıyor","")))</f>
        <v/>
      </c>
      <c r="P78" s="37" t="str">
        <f aca="false">IF($A78&lt;&gt;"Seçildi","",IF(OR($G78="",$I78="",$M78=""),"",IF(SUMPRODUCT(($A$7:$A$456="Seçildi")*($G$7:$G$456=$G78)*($I$7:$I$456=$I78)*(ROW($A$7:$A$456)&lt;&gt;78)*($M$7:$M$456&lt;=$N78)*($N$7:$N$456&gt;=$M78))&gt;0,"⚠ Çakışma","OK")))</f>
        <v/>
      </c>
      <c r="Q78" s="37" t="str">
        <f aca="false">IF($A78&lt;&gt;"Seçildi","",IF(OR($L78="",$I78="",$M78=""),"",IF(SUMPRODUCT(($A$7:$A$456="Seçildi")*($L$7:$L$456=$L78)*($I$7:$I$456=$I78)*(ROW($A$7:$A$456)&lt;&gt;78)*($M$7:$M$456&lt;=$N78)*($N$7:$N$456&gt;=$M78))&gt;0,"⚠ Çakışma","OK")))</f>
        <v/>
      </c>
      <c r="R78" s="37" t="str">
        <f aca="false">IF($A78&lt;&gt;"Seçildi","",IF(OR($D78="",$I78="",$M78=""),"",IF(SUMPRODUCT(($A$7:$A$456="Seçildi")*($D$7:$D$456=$D78)*($I$7:$I$456=$I78)*(ROW($A$7:$A$456)&lt;&gt;78)*($M$7:$M$456&lt;=$N78)*($N$7:$N$456&gt;=$M78))&gt;0,"⚠ Çakışma","OK")))</f>
        <v/>
      </c>
      <c r="S78" s="37"/>
      <c r="T78" s="37" t="str">
        <f aca="false">IF(OR($A78&lt;&gt;"Seçildi",AND($I78="",$J78="")),"",IF(OR($O78&lt;&gt;"",$P78="⚠ Çakışma",$Q78="⚠ Çakışma",$R78="⚠ Çakışma"),"⚠ Kontrol Et","✓ Uygun"))</f>
        <v/>
      </c>
    </row>
    <row r="79" customFormat="false" ht="13.5" hidden="false" customHeight="true" outlineLevel="0" collapsed="false">
      <c r="A79" s="33" t="str">
        <f aca="false">'1-Ders Havuzu'!K27</f>
        <v>Seçilmedi</v>
      </c>
      <c r="B79" s="33" t="str">
        <f aca="false">IF($A79="Seçildi",IF('1-Ders Havuzu'!C27="","",'1-Ders Havuzu'!C27),"")</f>
        <v/>
      </c>
      <c r="C79" s="34" t="str">
        <f aca="false">IF($A79="Seçildi",IF('1-Ders Havuzu'!D27="","",'1-Ders Havuzu'!D27),"")</f>
        <v/>
      </c>
      <c r="D79" s="33" t="str">
        <f aca="false">IF($A79="Seçildi",IF('1-Ders Havuzu'!B27="","",'1-Ders Havuzu'!B27),"")</f>
        <v/>
      </c>
      <c r="E79" s="33" t="str">
        <f aca="false">IF($A79="Seçildi",IF('1-Ders Havuzu'!A27="","",'1-Ders Havuzu'!A27),"")</f>
        <v/>
      </c>
      <c r="F79" s="33" t="str">
        <f aca="false">IF($A79="Seçildi",IF('1-Ders Havuzu'!H27="","",'1-Ders Havuzu'!H27),"")</f>
        <v/>
      </c>
      <c r="G79" s="33" t="str">
        <f aca="false">IF($A79="Seçildi",IF('2-Ders-Öğr.Elemanı Eşleştirme'!H27="","",'2-Ders-Öğr.Elemanı Eşleştirme'!H27),"")</f>
        <v/>
      </c>
      <c r="H79" s="35" t="n">
        <v>1</v>
      </c>
      <c r="I79" s="36"/>
      <c r="J79" s="36"/>
      <c r="K79" s="36"/>
      <c r="L79" s="36"/>
      <c r="M79" s="33" t="str">
        <f aca="false">IF($J79="","",MATCH($J79,{"08.00";"09.00";"10.00";"11.00";"12.00";"13.00";"14.00";"15.00";"16.00";"17.00"},0))</f>
        <v/>
      </c>
      <c r="N79" s="33" t="str">
        <f aca="false">IF(OR($M79="",$K79=""),"",$M79+$K79-1)</f>
        <v/>
      </c>
      <c r="O79" s="33" t="str">
        <f aca="false">IF($A79&lt;&gt;"Seçildi","",IF(OR($M79="",$N79=""),"",IF($N79&gt;10,"⚠ Saat Taşıyor","")))</f>
        <v/>
      </c>
      <c r="P79" s="33" t="str">
        <f aca="false">IF($A79&lt;&gt;"Seçildi","",IF(OR($G79="",$I79="",$M79=""),"",IF(SUMPRODUCT(($A$7:$A$456="Seçildi")*($G$7:$G$456=$G79)*($I$7:$I$456=$I79)*(ROW($A$7:$A$456)&lt;&gt;79)*($M$7:$M$456&lt;=$N79)*($N$7:$N$456&gt;=$M79))&gt;0,"⚠ Çakışma","OK")))</f>
        <v/>
      </c>
      <c r="Q79" s="33" t="str">
        <f aca="false">IF($A79&lt;&gt;"Seçildi","",IF(OR($L79="",$I79="",$M79=""),"",IF(SUMPRODUCT(($A$7:$A$456="Seçildi")*($L$7:$L$456=$L79)*($I$7:$I$456=$I79)*(ROW($A$7:$A$456)&lt;&gt;79)*($M$7:$M$456&lt;=$N79)*($N$7:$N$456&gt;=$M79))&gt;0,"⚠ Çakışma","OK")))</f>
        <v/>
      </c>
      <c r="R79" s="33" t="str">
        <f aca="false">IF($A79&lt;&gt;"Seçildi","",IF(OR($D79="",$I79="",$M79=""),"",IF(SUMPRODUCT(($A$7:$A$456="Seçildi")*($D$7:$D$456=$D79)*($I$7:$I$456=$I79)*(ROW($A$7:$A$456)&lt;&gt;79)*($M$7:$M$456&lt;=$N79)*($N$7:$N$456&gt;=$M79))&gt;0,"⚠ Çakışma","OK")))</f>
        <v/>
      </c>
      <c r="S79" s="33" t="str">
        <f aca="false">IF($A79&lt;&gt;"Seçildi","",IF(SUM($K79,$K80,$K81)&lt;&gt;$F79,"⚠ Dağılım: "&amp;SUM($K79:$K81)&amp;"/"&amp;$F79&amp;" saat","✓ Tamam"))</f>
        <v/>
      </c>
      <c r="T79" s="33" t="str">
        <f aca="false">IF($A79&lt;&gt;"Seçildi","",IF(OR($O79&lt;&gt;"",$P79="⚠ Çakışma",$Q79="⚠ Çakışma",$R79="⚠ Çakışma",LEFT($S79&amp;" ",1)="⚠"),"⚠ Kontrol Et","✓ Uygun"))</f>
        <v/>
      </c>
    </row>
    <row r="80" customFormat="false" ht="13.5" hidden="false" customHeight="true" outlineLevel="0" collapsed="false">
      <c r="A80" s="33" t="str">
        <f aca="false">'1-Ders Havuzu'!K27</f>
        <v>Seçilmedi</v>
      </c>
      <c r="B80" s="33" t="str">
        <f aca="false">IF($A80="Seçildi",IF('1-Ders Havuzu'!C27="","",'1-Ders Havuzu'!C27),"")</f>
        <v/>
      </c>
      <c r="C80" s="34" t="str">
        <f aca="false">IF($A80="Seçildi",IF('1-Ders Havuzu'!D27="","",'1-Ders Havuzu'!D27),"")</f>
        <v/>
      </c>
      <c r="D80" s="33" t="str">
        <f aca="false">IF($A80="Seçildi",IF('1-Ders Havuzu'!B27="","",'1-Ders Havuzu'!B27),"")</f>
        <v/>
      </c>
      <c r="E80" s="33" t="str">
        <f aca="false">IF($A80="Seçildi",IF('1-Ders Havuzu'!A27="","",'1-Ders Havuzu'!A27),"")</f>
        <v/>
      </c>
      <c r="F80" s="33" t="str">
        <f aca="false">IF($A80="Seçildi",IF('1-Ders Havuzu'!H27="","",'1-Ders Havuzu'!H27),"")</f>
        <v/>
      </c>
      <c r="G80" s="33" t="str">
        <f aca="false">IF($A80="Seçildi",IF('2-Ders-Öğr.Elemanı Eşleştirme'!H27="","",'2-Ders-Öğr.Elemanı Eşleştirme'!H27),"")</f>
        <v/>
      </c>
      <c r="H80" s="35" t="n">
        <v>2</v>
      </c>
      <c r="I80" s="36"/>
      <c r="J80" s="36"/>
      <c r="K80" s="36"/>
      <c r="L80" s="36"/>
      <c r="M80" s="33" t="str">
        <f aca="false">IF($J80="","",MATCH($J80,{"08.00";"09.00";"10.00";"11.00";"12.00";"13.00";"14.00";"15.00";"16.00";"17.00"},0))</f>
        <v/>
      </c>
      <c r="N80" s="33" t="str">
        <f aca="false">IF(OR($M80="",$K80=""),"",$M80+$K80-1)</f>
        <v/>
      </c>
      <c r="O80" s="33" t="str">
        <f aca="false">IF($A80&lt;&gt;"Seçildi","",IF(OR($M80="",$N80=""),"",IF($N80&gt;10,"⚠ Saat Taşıyor","")))</f>
        <v/>
      </c>
      <c r="P80" s="33" t="str">
        <f aca="false">IF($A80&lt;&gt;"Seçildi","",IF(OR($G80="",$I80="",$M80=""),"",IF(SUMPRODUCT(($A$7:$A$456="Seçildi")*($G$7:$G$456=$G80)*($I$7:$I$456=$I80)*(ROW($A$7:$A$456)&lt;&gt;80)*($M$7:$M$456&lt;=$N80)*($N$7:$N$456&gt;=$M80))&gt;0,"⚠ Çakışma","OK")))</f>
        <v/>
      </c>
      <c r="Q80" s="33" t="str">
        <f aca="false">IF($A80&lt;&gt;"Seçildi","",IF(OR($L80="",$I80="",$M80=""),"",IF(SUMPRODUCT(($A$7:$A$456="Seçildi")*($L$7:$L$456=$L80)*($I$7:$I$456=$I80)*(ROW($A$7:$A$456)&lt;&gt;80)*($M$7:$M$456&lt;=$N80)*($N$7:$N$456&gt;=$M80))&gt;0,"⚠ Çakışma","OK")))</f>
        <v/>
      </c>
      <c r="R80" s="33" t="str">
        <f aca="false">IF($A80&lt;&gt;"Seçildi","",IF(OR($D80="",$I80="",$M80=""),"",IF(SUMPRODUCT(($A$7:$A$456="Seçildi")*($D$7:$D$456=$D80)*($I$7:$I$456=$I80)*(ROW($A$7:$A$456)&lt;&gt;80)*($M$7:$M$456&lt;=$N80)*($N$7:$N$456&gt;=$M80))&gt;0,"⚠ Çakışma","OK")))</f>
        <v/>
      </c>
      <c r="S80" s="33"/>
      <c r="T80" s="33" t="str">
        <f aca="false">IF(OR($A80&lt;&gt;"Seçildi",AND($I80="",$J80="")),"",IF(OR($O80&lt;&gt;"",$P80="⚠ Çakışma",$Q80="⚠ Çakışma",$R80="⚠ Çakışma"),"⚠ Kontrol Et","✓ Uygun"))</f>
        <v/>
      </c>
    </row>
    <row r="81" customFormat="false" ht="13.5" hidden="false" customHeight="true" outlineLevel="0" collapsed="false">
      <c r="A81" s="33" t="str">
        <f aca="false">'1-Ders Havuzu'!K27</f>
        <v>Seçilmedi</v>
      </c>
      <c r="B81" s="33" t="str">
        <f aca="false">IF($A81="Seçildi",IF('1-Ders Havuzu'!C27="","",'1-Ders Havuzu'!C27),"")</f>
        <v/>
      </c>
      <c r="C81" s="34" t="str">
        <f aca="false">IF($A81="Seçildi",IF('1-Ders Havuzu'!D27="","",'1-Ders Havuzu'!D27),"")</f>
        <v/>
      </c>
      <c r="D81" s="33" t="str">
        <f aca="false">IF($A81="Seçildi",IF('1-Ders Havuzu'!B27="","",'1-Ders Havuzu'!B27),"")</f>
        <v/>
      </c>
      <c r="E81" s="33" t="str">
        <f aca="false">IF($A81="Seçildi",IF('1-Ders Havuzu'!A27="","",'1-Ders Havuzu'!A27),"")</f>
        <v/>
      </c>
      <c r="F81" s="33" t="str">
        <f aca="false">IF($A81="Seçildi",IF('1-Ders Havuzu'!H27="","",'1-Ders Havuzu'!H27),"")</f>
        <v/>
      </c>
      <c r="G81" s="33" t="str">
        <f aca="false">IF($A81="Seçildi",IF('2-Ders-Öğr.Elemanı Eşleştirme'!H27="","",'2-Ders-Öğr.Elemanı Eşleştirme'!H27),"")</f>
        <v/>
      </c>
      <c r="H81" s="35" t="n">
        <v>3</v>
      </c>
      <c r="I81" s="36"/>
      <c r="J81" s="36"/>
      <c r="K81" s="36"/>
      <c r="L81" s="36"/>
      <c r="M81" s="33" t="str">
        <f aca="false">IF($J81="","",MATCH($J81,{"08.00";"09.00";"10.00";"11.00";"12.00";"13.00";"14.00";"15.00";"16.00";"17.00"},0))</f>
        <v/>
      </c>
      <c r="N81" s="33" t="str">
        <f aca="false">IF(OR($M81="",$K81=""),"",$M81+$K81-1)</f>
        <v/>
      </c>
      <c r="O81" s="33" t="str">
        <f aca="false">IF($A81&lt;&gt;"Seçildi","",IF(OR($M81="",$N81=""),"",IF($N81&gt;10,"⚠ Saat Taşıyor","")))</f>
        <v/>
      </c>
      <c r="P81" s="33" t="str">
        <f aca="false">IF($A81&lt;&gt;"Seçildi","",IF(OR($G81="",$I81="",$M81=""),"",IF(SUMPRODUCT(($A$7:$A$456="Seçildi")*($G$7:$G$456=$G81)*($I$7:$I$456=$I81)*(ROW($A$7:$A$456)&lt;&gt;81)*($M$7:$M$456&lt;=$N81)*($N$7:$N$456&gt;=$M81))&gt;0,"⚠ Çakışma","OK")))</f>
        <v/>
      </c>
      <c r="Q81" s="33" t="str">
        <f aca="false">IF($A81&lt;&gt;"Seçildi","",IF(OR($L81="",$I81="",$M81=""),"",IF(SUMPRODUCT(($A$7:$A$456="Seçildi")*($L$7:$L$456=$L81)*($I$7:$I$456=$I81)*(ROW($A$7:$A$456)&lt;&gt;81)*($M$7:$M$456&lt;=$N81)*($N$7:$N$456&gt;=$M81))&gt;0,"⚠ Çakışma","OK")))</f>
        <v/>
      </c>
      <c r="R81" s="33" t="str">
        <f aca="false">IF($A81&lt;&gt;"Seçildi","",IF(OR($D81="",$I81="",$M81=""),"",IF(SUMPRODUCT(($A$7:$A$456="Seçildi")*($D$7:$D$456=$D81)*($I$7:$I$456=$I81)*(ROW($A$7:$A$456)&lt;&gt;81)*($M$7:$M$456&lt;=$N81)*($N$7:$N$456&gt;=$M81))&gt;0,"⚠ Çakışma","OK")))</f>
        <v/>
      </c>
      <c r="S81" s="33"/>
      <c r="T81" s="33" t="str">
        <f aca="false">IF(OR($A81&lt;&gt;"Seçildi",AND($I81="",$J81="")),"",IF(OR($O81&lt;&gt;"",$P81="⚠ Çakışma",$Q81="⚠ Çakışma",$R81="⚠ Çakışma"),"⚠ Kontrol Et","✓ Uygun"))</f>
        <v/>
      </c>
    </row>
    <row r="82" customFormat="false" ht="13.5" hidden="false" customHeight="true" outlineLevel="0" collapsed="false">
      <c r="A82" s="37" t="str">
        <f aca="false">'1-Ders Havuzu'!K28</f>
        <v>Seçilmedi</v>
      </c>
      <c r="B82" s="37" t="str">
        <f aca="false">IF($A82="Seçildi",IF('1-Ders Havuzu'!C28="","",'1-Ders Havuzu'!C28),"")</f>
        <v/>
      </c>
      <c r="C82" s="38" t="str">
        <f aca="false">IF($A82="Seçildi",IF('1-Ders Havuzu'!D28="","",'1-Ders Havuzu'!D28),"")</f>
        <v/>
      </c>
      <c r="D82" s="37" t="str">
        <f aca="false">IF($A82="Seçildi",IF('1-Ders Havuzu'!B28="","",'1-Ders Havuzu'!B28),"")</f>
        <v/>
      </c>
      <c r="E82" s="37" t="str">
        <f aca="false">IF($A82="Seçildi",IF('1-Ders Havuzu'!A28="","",'1-Ders Havuzu'!A28),"")</f>
        <v/>
      </c>
      <c r="F82" s="37" t="str">
        <f aca="false">IF($A82="Seçildi",IF('1-Ders Havuzu'!H28="","",'1-Ders Havuzu'!H28),"")</f>
        <v/>
      </c>
      <c r="G82" s="37" t="str">
        <f aca="false">IF($A82="Seçildi",IF('2-Ders-Öğr.Elemanı Eşleştirme'!H28="","",'2-Ders-Öğr.Elemanı Eşleştirme'!H28),"")</f>
        <v/>
      </c>
      <c r="H82" s="39" t="n">
        <v>1</v>
      </c>
      <c r="I82" s="36"/>
      <c r="J82" s="36"/>
      <c r="K82" s="36"/>
      <c r="L82" s="36"/>
      <c r="M82" s="37" t="str">
        <f aca="false">IF($J82="","",MATCH($J82,{"08.00";"09.00";"10.00";"11.00";"12.00";"13.00";"14.00";"15.00";"16.00";"17.00"},0))</f>
        <v/>
      </c>
      <c r="N82" s="37" t="str">
        <f aca="false">IF(OR($M82="",$K82=""),"",$M82+$K82-1)</f>
        <v/>
      </c>
      <c r="O82" s="37" t="str">
        <f aca="false">IF($A82&lt;&gt;"Seçildi","",IF(OR($M82="",$N82=""),"",IF($N82&gt;10,"⚠ Saat Taşıyor","")))</f>
        <v/>
      </c>
      <c r="P82" s="37" t="str">
        <f aca="false">IF($A82&lt;&gt;"Seçildi","",IF(OR($G82="",$I82="",$M82=""),"",IF(SUMPRODUCT(($A$7:$A$456="Seçildi")*($G$7:$G$456=$G82)*($I$7:$I$456=$I82)*(ROW($A$7:$A$456)&lt;&gt;82)*($M$7:$M$456&lt;=$N82)*($N$7:$N$456&gt;=$M82))&gt;0,"⚠ Çakışma","OK")))</f>
        <v/>
      </c>
      <c r="Q82" s="37" t="str">
        <f aca="false">IF($A82&lt;&gt;"Seçildi","",IF(OR($L82="",$I82="",$M82=""),"",IF(SUMPRODUCT(($A$7:$A$456="Seçildi")*($L$7:$L$456=$L82)*($I$7:$I$456=$I82)*(ROW($A$7:$A$456)&lt;&gt;82)*($M$7:$M$456&lt;=$N82)*($N$7:$N$456&gt;=$M82))&gt;0,"⚠ Çakışma","OK")))</f>
        <v/>
      </c>
      <c r="R82" s="37" t="str">
        <f aca="false">IF($A82&lt;&gt;"Seçildi","",IF(OR($D82="",$I82="",$M82=""),"",IF(SUMPRODUCT(($A$7:$A$456="Seçildi")*($D$7:$D$456=$D82)*($I$7:$I$456=$I82)*(ROW($A$7:$A$456)&lt;&gt;82)*($M$7:$M$456&lt;=$N82)*($N$7:$N$456&gt;=$M82))&gt;0,"⚠ Çakışma","OK")))</f>
        <v/>
      </c>
      <c r="S82" s="37" t="str">
        <f aca="false">IF($A82&lt;&gt;"Seçildi","",IF(SUM($K82,$K83,$K84)&lt;&gt;$F82,"⚠ Dağılım: "&amp;SUM($K82:$K84)&amp;"/"&amp;$F82&amp;" saat","✓ Tamam"))</f>
        <v/>
      </c>
      <c r="T82" s="37" t="str">
        <f aca="false">IF($A82&lt;&gt;"Seçildi","",IF(OR($O82&lt;&gt;"",$P82="⚠ Çakışma",$Q82="⚠ Çakışma",$R82="⚠ Çakışma",LEFT($S82&amp;" ",1)="⚠"),"⚠ Kontrol Et","✓ Uygun"))</f>
        <v/>
      </c>
    </row>
    <row r="83" customFormat="false" ht="13.5" hidden="false" customHeight="true" outlineLevel="0" collapsed="false">
      <c r="A83" s="37" t="str">
        <f aca="false">'1-Ders Havuzu'!K28</f>
        <v>Seçilmedi</v>
      </c>
      <c r="B83" s="37" t="str">
        <f aca="false">IF($A83="Seçildi",IF('1-Ders Havuzu'!C28="","",'1-Ders Havuzu'!C28),"")</f>
        <v/>
      </c>
      <c r="C83" s="38" t="str">
        <f aca="false">IF($A83="Seçildi",IF('1-Ders Havuzu'!D28="","",'1-Ders Havuzu'!D28),"")</f>
        <v/>
      </c>
      <c r="D83" s="37" t="str">
        <f aca="false">IF($A83="Seçildi",IF('1-Ders Havuzu'!B28="","",'1-Ders Havuzu'!B28),"")</f>
        <v/>
      </c>
      <c r="E83" s="37" t="str">
        <f aca="false">IF($A83="Seçildi",IF('1-Ders Havuzu'!A28="","",'1-Ders Havuzu'!A28),"")</f>
        <v/>
      </c>
      <c r="F83" s="37" t="str">
        <f aca="false">IF($A83="Seçildi",IF('1-Ders Havuzu'!H28="","",'1-Ders Havuzu'!H28),"")</f>
        <v/>
      </c>
      <c r="G83" s="37" t="str">
        <f aca="false">IF($A83="Seçildi",IF('2-Ders-Öğr.Elemanı Eşleştirme'!H28="","",'2-Ders-Öğr.Elemanı Eşleştirme'!H28),"")</f>
        <v/>
      </c>
      <c r="H83" s="39" t="n">
        <v>2</v>
      </c>
      <c r="I83" s="36"/>
      <c r="J83" s="36"/>
      <c r="K83" s="36"/>
      <c r="L83" s="36"/>
      <c r="M83" s="37" t="str">
        <f aca="false">IF($J83="","",MATCH($J83,{"08.00";"09.00";"10.00";"11.00";"12.00";"13.00";"14.00";"15.00";"16.00";"17.00"},0))</f>
        <v/>
      </c>
      <c r="N83" s="37" t="str">
        <f aca="false">IF(OR($M83="",$K83=""),"",$M83+$K83-1)</f>
        <v/>
      </c>
      <c r="O83" s="37" t="str">
        <f aca="false">IF($A83&lt;&gt;"Seçildi","",IF(OR($M83="",$N83=""),"",IF($N83&gt;10,"⚠ Saat Taşıyor","")))</f>
        <v/>
      </c>
      <c r="P83" s="37" t="str">
        <f aca="false">IF($A83&lt;&gt;"Seçildi","",IF(OR($G83="",$I83="",$M83=""),"",IF(SUMPRODUCT(($A$7:$A$456="Seçildi")*($G$7:$G$456=$G83)*($I$7:$I$456=$I83)*(ROW($A$7:$A$456)&lt;&gt;83)*($M$7:$M$456&lt;=$N83)*($N$7:$N$456&gt;=$M83))&gt;0,"⚠ Çakışma","OK")))</f>
        <v/>
      </c>
      <c r="Q83" s="37" t="str">
        <f aca="false">IF($A83&lt;&gt;"Seçildi","",IF(OR($L83="",$I83="",$M83=""),"",IF(SUMPRODUCT(($A$7:$A$456="Seçildi")*($L$7:$L$456=$L83)*($I$7:$I$456=$I83)*(ROW($A$7:$A$456)&lt;&gt;83)*($M$7:$M$456&lt;=$N83)*($N$7:$N$456&gt;=$M83))&gt;0,"⚠ Çakışma","OK")))</f>
        <v/>
      </c>
      <c r="R83" s="37" t="str">
        <f aca="false">IF($A83&lt;&gt;"Seçildi","",IF(OR($D83="",$I83="",$M83=""),"",IF(SUMPRODUCT(($A$7:$A$456="Seçildi")*($D$7:$D$456=$D83)*($I$7:$I$456=$I83)*(ROW($A$7:$A$456)&lt;&gt;83)*($M$7:$M$456&lt;=$N83)*($N$7:$N$456&gt;=$M83))&gt;0,"⚠ Çakışma","OK")))</f>
        <v/>
      </c>
      <c r="S83" s="37"/>
      <c r="T83" s="37" t="str">
        <f aca="false">IF(OR($A83&lt;&gt;"Seçildi",AND($I83="",$J83="")),"",IF(OR($O83&lt;&gt;"",$P83="⚠ Çakışma",$Q83="⚠ Çakışma",$R83="⚠ Çakışma"),"⚠ Kontrol Et","✓ Uygun"))</f>
        <v/>
      </c>
    </row>
    <row r="84" customFormat="false" ht="13.5" hidden="false" customHeight="true" outlineLevel="0" collapsed="false">
      <c r="A84" s="37" t="str">
        <f aca="false">'1-Ders Havuzu'!K28</f>
        <v>Seçilmedi</v>
      </c>
      <c r="B84" s="37" t="str">
        <f aca="false">IF($A84="Seçildi",IF('1-Ders Havuzu'!C28="","",'1-Ders Havuzu'!C28),"")</f>
        <v/>
      </c>
      <c r="C84" s="38" t="str">
        <f aca="false">IF($A84="Seçildi",IF('1-Ders Havuzu'!D28="","",'1-Ders Havuzu'!D28),"")</f>
        <v/>
      </c>
      <c r="D84" s="37" t="str">
        <f aca="false">IF($A84="Seçildi",IF('1-Ders Havuzu'!B28="","",'1-Ders Havuzu'!B28),"")</f>
        <v/>
      </c>
      <c r="E84" s="37" t="str">
        <f aca="false">IF($A84="Seçildi",IF('1-Ders Havuzu'!A28="","",'1-Ders Havuzu'!A28),"")</f>
        <v/>
      </c>
      <c r="F84" s="37" t="str">
        <f aca="false">IF($A84="Seçildi",IF('1-Ders Havuzu'!H28="","",'1-Ders Havuzu'!H28),"")</f>
        <v/>
      </c>
      <c r="G84" s="37" t="str">
        <f aca="false">IF($A84="Seçildi",IF('2-Ders-Öğr.Elemanı Eşleştirme'!H28="","",'2-Ders-Öğr.Elemanı Eşleştirme'!H28),"")</f>
        <v/>
      </c>
      <c r="H84" s="39" t="n">
        <v>3</v>
      </c>
      <c r="I84" s="36"/>
      <c r="J84" s="36"/>
      <c r="K84" s="36"/>
      <c r="L84" s="36"/>
      <c r="M84" s="37" t="str">
        <f aca="false">IF($J84="","",MATCH($J84,{"08.00";"09.00";"10.00";"11.00";"12.00";"13.00";"14.00";"15.00";"16.00";"17.00"},0))</f>
        <v/>
      </c>
      <c r="N84" s="37" t="str">
        <f aca="false">IF(OR($M84="",$K84=""),"",$M84+$K84-1)</f>
        <v/>
      </c>
      <c r="O84" s="37" t="str">
        <f aca="false">IF($A84&lt;&gt;"Seçildi","",IF(OR($M84="",$N84=""),"",IF($N84&gt;10,"⚠ Saat Taşıyor","")))</f>
        <v/>
      </c>
      <c r="P84" s="37" t="str">
        <f aca="false">IF($A84&lt;&gt;"Seçildi","",IF(OR($G84="",$I84="",$M84=""),"",IF(SUMPRODUCT(($A$7:$A$456="Seçildi")*($G$7:$G$456=$G84)*($I$7:$I$456=$I84)*(ROW($A$7:$A$456)&lt;&gt;84)*($M$7:$M$456&lt;=$N84)*($N$7:$N$456&gt;=$M84))&gt;0,"⚠ Çakışma","OK")))</f>
        <v/>
      </c>
      <c r="Q84" s="37" t="str">
        <f aca="false">IF($A84&lt;&gt;"Seçildi","",IF(OR($L84="",$I84="",$M84=""),"",IF(SUMPRODUCT(($A$7:$A$456="Seçildi")*($L$7:$L$456=$L84)*($I$7:$I$456=$I84)*(ROW($A$7:$A$456)&lt;&gt;84)*($M$7:$M$456&lt;=$N84)*($N$7:$N$456&gt;=$M84))&gt;0,"⚠ Çakışma","OK")))</f>
        <v/>
      </c>
      <c r="R84" s="37" t="str">
        <f aca="false">IF($A84&lt;&gt;"Seçildi","",IF(OR($D84="",$I84="",$M84=""),"",IF(SUMPRODUCT(($A$7:$A$456="Seçildi")*($D$7:$D$456=$D84)*($I$7:$I$456=$I84)*(ROW($A$7:$A$456)&lt;&gt;84)*($M$7:$M$456&lt;=$N84)*($N$7:$N$456&gt;=$M84))&gt;0,"⚠ Çakışma","OK")))</f>
        <v/>
      </c>
      <c r="S84" s="37"/>
      <c r="T84" s="37" t="str">
        <f aca="false">IF(OR($A84&lt;&gt;"Seçildi",AND($I84="",$J84="")),"",IF(OR($O84&lt;&gt;"",$P84="⚠ Çakışma",$Q84="⚠ Çakışma",$R84="⚠ Çakışma"),"⚠ Kontrol Et","✓ Uygun"))</f>
        <v/>
      </c>
    </row>
    <row r="85" customFormat="false" ht="13.5" hidden="false" customHeight="true" outlineLevel="0" collapsed="false">
      <c r="A85" s="33" t="str">
        <f aca="false">'1-Ders Havuzu'!K29</f>
        <v>Seçilmedi</v>
      </c>
      <c r="B85" s="33" t="str">
        <f aca="false">IF($A85="Seçildi",IF('1-Ders Havuzu'!C29="","",'1-Ders Havuzu'!C29),"")</f>
        <v/>
      </c>
      <c r="C85" s="34" t="str">
        <f aca="false">IF($A85="Seçildi",IF('1-Ders Havuzu'!D29="","",'1-Ders Havuzu'!D29),"")</f>
        <v/>
      </c>
      <c r="D85" s="33" t="str">
        <f aca="false">IF($A85="Seçildi",IF('1-Ders Havuzu'!B29="","",'1-Ders Havuzu'!B29),"")</f>
        <v/>
      </c>
      <c r="E85" s="33" t="str">
        <f aca="false">IF($A85="Seçildi",IF('1-Ders Havuzu'!A29="","",'1-Ders Havuzu'!A29),"")</f>
        <v/>
      </c>
      <c r="F85" s="33" t="str">
        <f aca="false">IF($A85="Seçildi",IF('1-Ders Havuzu'!H29="","",'1-Ders Havuzu'!H29),"")</f>
        <v/>
      </c>
      <c r="G85" s="33" t="str">
        <f aca="false">IF($A85="Seçildi",IF('2-Ders-Öğr.Elemanı Eşleştirme'!H29="","",'2-Ders-Öğr.Elemanı Eşleştirme'!H29),"")</f>
        <v/>
      </c>
      <c r="H85" s="35" t="n">
        <v>1</v>
      </c>
      <c r="I85" s="36"/>
      <c r="J85" s="36"/>
      <c r="K85" s="36"/>
      <c r="L85" s="36"/>
      <c r="M85" s="33" t="str">
        <f aca="false">IF($J85="","",MATCH($J85,{"08.00";"09.00";"10.00";"11.00";"12.00";"13.00";"14.00";"15.00";"16.00";"17.00"},0))</f>
        <v/>
      </c>
      <c r="N85" s="33" t="str">
        <f aca="false">IF(OR($M85="",$K85=""),"",$M85+$K85-1)</f>
        <v/>
      </c>
      <c r="O85" s="33" t="str">
        <f aca="false">IF($A85&lt;&gt;"Seçildi","",IF(OR($M85="",$N85=""),"",IF($N85&gt;10,"⚠ Saat Taşıyor","")))</f>
        <v/>
      </c>
      <c r="P85" s="33" t="str">
        <f aca="false">IF($A85&lt;&gt;"Seçildi","",IF(OR($G85="",$I85="",$M85=""),"",IF(SUMPRODUCT(($A$7:$A$456="Seçildi")*($G$7:$G$456=$G85)*($I$7:$I$456=$I85)*(ROW($A$7:$A$456)&lt;&gt;85)*($M$7:$M$456&lt;=$N85)*($N$7:$N$456&gt;=$M85))&gt;0,"⚠ Çakışma","OK")))</f>
        <v/>
      </c>
      <c r="Q85" s="33" t="str">
        <f aca="false">IF($A85&lt;&gt;"Seçildi","",IF(OR($L85="",$I85="",$M85=""),"",IF(SUMPRODUCT(($A$7:$A$456="Seçildi")*($L$7:$L$456=$L85)*($I$7:$I$456=$I85)*(ROW($A$7:$A$456)&lt;&gt;85)*($M$7:$M$456&lt;=$N85)*($N$7:$N$456&gt;=$M85))&gt;0,"⚠ Çakışma","OK")))</f>
        <v/>
      </c>
      <c r="R85" s="33" t="str">
        <f aca="false">IF($A85&lt;&gt;"Seçildi","",IF(OR($D85="",$I85="",$M85=""),"",IF(SUMPRODUCT(($A$7:$A$456="Seçildi")*($D$7:$D$456=$D85)*($I$7:$I$456=$I85)*(ROW($A$7:$A$456)&lt;&gt;85)*($M$7:$M$456&lt;=$N85)*($N$7:$N$456&gt;=$M85))&gt;0,"⚠ Çakışma","OK")))</f>
        <v/>
      </c>
      <c r="S85" s="33" t="str">
        <f aca="false">IF($A85&lt;&gt;"Seçildi","",IF(SUM($K85,$K86,$K87)&lt;&gt;$F85,"⚠ Dağılım: "&amp;SUM($K85:$K87)&amp;"/"&amp;$F85&amp;" saat","✓ Tamam"))</f>
        <v/>
      </c>
      <c r="T85" s="33" t="str">
        <f aca="false">IF($A85&lt;&gt;"Seçildi","",IF(OR($O85&lt;&gt;"",$P85="⚠ Çakışma",$Q85="⚠ Çakışma",$R85="⚠ Çakışma",LEFT($S85&amp;" ",1)="⚠"),"⚠ Kontrol Et","✓ Uygun"))</f>
        <v/>
      </c>
    </row>
    <row r="86" customFormat="false" ht="13.5" hidden="false" customHeight="true" outlineLevel="0" collapsed="false">
      <c r="A86" s="33" t="str">
        <f aca="false">'1-Ders Havuzu'!K29</f>
        <v>Seçilmedi</v>
      </c>
      <c r="B86" s="33" t="str">
        <f aca="false">IF($A86="Seçildi",IF('1-Ders Havuzu'!C29="","",'1-Ders Havuzu'!C29),"")</f>
        <v/>
      </c>
      <c r="C86" s="34" t="str">
        <f aca="false">IF($A86="Seçildi",IF('1-Ders Havuzu'!D29="","",'1-Ders Havuzu'!D29),"")</f>
        <v/>
      </c>
      <c r="D86" s="33" t="str">
        <f aca="false">IF($A86="Seçildi",IF('1-Ders Havuzu'!B29="","",'1-Ders Havuzu'!B29),"")</f>
        <v/>
      </c>
      <c r="E86" s="33" t="str">
        <f aca="false">IF($A86="Seçildi",IF('1-Ders Havuzu'!A29="","",'1-Ders Havuzu'!A29),"")</f>
        <v/>
      </c>
      <c r="F86" s="33" t="str">
        <f aca="false">IF($A86="Seçildi",IF('1-Ders Havuzu'!H29="","",'1-Ders Havuzu'!H29),"")</f>
        <v/>
      </c>
      <c r="G86" s="33" t="str">
        <f aca="false">IF($A86="Seçildi",IF('2-Ders-Öğr.Elemanı Eşleştirme'!H29="","",'2-Ders-Öğr.Elemanı Eşleştirme'!H29),"")</f>
        <v/>
      </c>
      <c r="H86" s="35" t="n">
        <v>2</v>
      </c>
      <c r="I86" s="36"/>
      <c r="J86" s="36"/>
      <c r="K86" s="36"/>
      <c r="L86" s="36"/>
      <c r="M86" s="33" t="str">
        <f aca="false">IF($J86="","",MATCH($J86,{"08.00";"09.00";"10.00";"11.00";"12.00";"13.00";"14.00";"15.00";"16.00";"17.00"},0))</f>
        <v/>
      </c>
      <c r="N86" s="33" t="str">
        <f aca="false">IF(OR($M86="",$K86=""),"",$M86+$K86-1)</f>
        <v/>
      </c>
      <c r="O86" s="33" t="str">
        <f aca="false">IF($A86&lt;&gt;"Seçildi","",IF(OR($M86="",$N86=""),"",IF($N86&gt;10,"⚠ Saat Taşıyor","")))</f>
        <v/>
      </c>
      <c r="P86" s="33" t="str">
        <f aca="false">IF($A86&lt;&gt;"Seçildi","",IF(OR($G86="",$I86="",$M86=""),"",IF(SUMPRODUCT(($A$7:$A$456="Seçildi")*($G$7:$G$456=$G86)*($I$7:$I$456=$I86)*(ROW($A$7:$A$456)&lt;&gt;86)*($M$7:$M$456&lt;=$N86)*($N$7:$N$456&gt;=$M86))&gt;0,"⚠ Çakışma","OK")))</f>
        <v/>
      </c>
      <c r="Q86" s="33" t="str">
        <f aca="false">IF($A86&lt;&gt;"Seçildi","",IF(OR($L86="",$I86="",$M86=""),"",IF(SUMPRODUCT(($A$7:$A$456="Seçildi")*($L$7:$L$456=$L86)*($I$7:$I$456=$I86)*(ROW($A$7:$A$456)&lt;&gt;86)*($M$7:$M$456&lt;=$N86)*($N$7:$N$456&gt;=$M86))&gt;0,"⚠ Çakışma","OK")))</f>
        <v/>
      </c>
      <c r="R86" s="33" t="str">
        <f aca="false">IF($A86&lt;&gt;"Seçildi","",IF(OR($D86="",$I86="",$M86=""),"",IF(SUMPRODUCT(($A$7:$A$456="Seçildi")*($D$7:$D$456=$D86)*($I$7:$I$456=$I86)*(ROW($A$7:$A$456)&lt;&gt;86)*($M$7:$M$456&lt;=$N86)*($N$7:$N$456&gt;=$M86))&gt;0,"⚠ Çakışma","OK")))</f>
        <v/>
      </c>
      <c r="S86" s="33"/>
      <c r="T86" s="33" t="str">
        <f aca="false">IF(OR($A86&lt;&gt;"Seçildi",AND($I86="",$J86="")),"",IF(OR($O86&lt;&gt;"",$P86="⚠ Çakışma",$Q86="⚠ Çakışma",$R86="⚠ Çakışma"),"⚠ Kontrol Et","✓ Uygun"))</f>
        <v/>
      </c>
    </row>
    <row r="87" customFormat="false" ht="13.5" hidden="false" customHeight="true" outlineLevel="0" collapsed="false">
      <c r="A87" s="33" t="str">
        <f aca="false">'1-Ders Havuzu'!K29</f>
        <v>Seçilmedi</v>
      </c>
      <c r="B87" s="33" t="str">
        <f aca="false">IF($A87="Seçildi",IF('1-Ders Havuzu'!C29="","",'1-Ders Havuzu'!C29),"")</f>
        <v/>
      </c>
      <c r="C87" s="34" t="str">
        <f aca="false">IF($A87="Seçildi",IF('1-Ders Havuzu'!D29="","",'1-Ders Havuzu'!D29),"")</f>
        <v/>
      </c>
      <c r="D87" s="33" t="str">
        <f aca="false">IF($A87="Seçildi",IF('1-Ders Havuzu'!B29="","",'1-Ders Havuzu'!B29),"")</f>
        <v/>
      </c>
      <c r="E87" s="33" t="str">
        <f aca="false">IF($A87="Seçildi",IF('1-Ders Havuzu'!A29="","",'1-Ders Havuzu'!A29),"")</f>
        <v/>
      </c>
      <c r="F87" s="33" t="str">
        <f aca="false">IF($A87="Seçildi",IF('1-Ders Havuzu'!H29="","",'1-Ders Havuzu'!H29),"")</f>
        <v/>
      </c>
      <c r="G87" s="33" t="str">
        <f aca="false">IF($A87="Seçildi",IF('2-Ders-Öğr.Elemanı Eşleştirme'!H29="","",'2-Ders-Öğr.Elemanı Eşleştirme'!H29),"")</f>
        <v/>
      </c>
      <c r="H87" s="35" t="n">
        <v>3</v>
      </c>
      <c r="I87" s="36"/>
      <c r="J87" s="36"/>
      <c r="K87" s="36"/>
      <c r="L87" s="36"/>
      <c r="M87" s="33" t="str">
        <f aca="false">IF($J87="","",MATCH($J87,{"08.00";"09.00";"10.00";"11.00";"12.00";"13.00";"14.00";"15.00";"16.00";"17.00"},0))</f>
        <v/>
      </c>
      <c r="N87" s="33" t="str">
        <f aca="false">IF(OR($M87="",$K87=""),"",$M87+$K87-1)</f>
        <v/>
      </c>
      <c r="O87" s="33" t="str">
        <f aca="false">IF($A87&lt;&gt;"Seçildi","",IF(OR($M87="",$N87=""),"",IF($N87&gt;10,"⚠ Saat Taşıyor","")))</f>
        <v/>
      </c>
      <c r="P87" s="33" t="str">
        <f aca="false">IF($A87&lt;&gt;"Seçildi","",IF(OR($G87="",$I87="",$M87=""),"",IF(SUMPRODUCT(($A$7:$A$456="Seçildi")*($G$7:$G$456=$G87)*($I$7:$I$456=$I87)*(ROW($A$7:$A$456)&lt;&gt;87)*($M$7:$M$456&lt;=$N87)*($N$7:$N$456&gt;=$M87))&gt;0,"⚠ Çakışma","OK")))</f>
        <v/>
      </c>
      <c r="Q87" s="33" t="str">
        <f aca="false">IF($A87&lt;&gt;"Seçildi","",IF(OR($L87="",$I87="",$M87=""),"",IF(SUMPRODUCT(($A$7:$A$456="Seçildi")*($L$7:$L$456=$L87)*($I$7:$I$456=$I87)*(ROW($A$7:$A$456)&lt;&gt;87)*($M$7:$M$456&lt;=$N87)*($N$7:$N$456&gt;=$M87))&gt;0,"⚠ Çakışma","OK")))</f>
        <v/>
      </c>
      <c r="R87" s="33" t="str">
        <f aca="false">IF($A87&lt;&gt;"Seçildi","",IF(OR($D87="",$I87="",$M87=""),"",IF(SUMPRODUCT(($A$7:$A$456="Seçildi")*($D$7:$D$456=$D87)*($I$7:$I$456=$I87)*(ROW($A$7:$A$456)&lt;&gt;87)*($M$7:$M$456&lt;=$N87)*($N$7:$N$456&gt;=$M87))&gt;0,"⚠ Çakışma","OK")))</f>
        <v/>
      </c>
      <c r="S87" s="33"/>
      <c r="T87" s="33" t="str">
        <f aca="false">IF(OR($A87&lt;&gt;"Seçildi",AND($I87="",$J87="")),"",IF(OR($O87&lt;&gt;"",$P87="⚠ Çakışma",$Q87="⚠ Çakışma",$R87="⚠ Çakışma"),"⚠ Kontrol Et","✓ Uygun"))</f>
        <v/>
      </c>
    </row>
    <row r="88" customFormat="false" ht="13.5" hidden="false" customHeight="true" outlineLevel="0" collapsed="false">
      <c r="A88" s="37" t="str">
        <f aca="false">'1-Ders Havuzu'!K30</f>
        <v>Seçilmedi</v>
      </c>
      <c r="B88" s="37" t="str">
        <f aca="false">IF($A88="Seçildi",IF('1-Ders Havuzu'!C30="","",'1-Ders Havuzu'!C30),"")</f>
        <v/>
      </c>
      <c r="C88" s="38" t="str">
        <f aca="false">IF($A88="Seçildi",IF('1-Ders Havuzu'!D30="","",'1-Ders Havuzu'!D30),"")</f>
        <v/>
      </c>
      <c r="D88" s="37" t="str">
        <f aca="false">IF($A88="Seçildi",IF('1-Ders Havuzu'!B30="","",'1-Ders Havuzu'!B30),"")</f>
        <v/>
      </c>
      <c r="E88" s="37" t="str">
        <f aca="false">IF($A88="Seçildi",IF('1-Ders Havuzu'!A30="","",'1-Ders Havuzu'!A30),"")</f>
        <v/>
      </c>
      <c r="F88" s="37" t="str">
        <f aca="false">IF($A88="Seçildi",IF('1-Ders Havuzu'!H30="","",'1-Ders Havuzu'!H30),"")</f>
        <v/>
      </c>
      <c r="G88" s="37" t="str">
        <f aca="false">IF($A88="Seçildi",IF('2-Ders-Öğr.Elemanı Eşleştirme'!H30="","",'2-Ders-Öğr.Elemanı Eşleştirme'!H30),"")</f>
        <v/>
      </c>
      <c r="H88" s="39" t="n">
        <v>1</v>
      </c>
      <c r="I88" s="36"/>
      <c r="J88" s="36"/>
      <c r="K88" s="36"/>
      <c r="L88" s="36"/>
      <c r="M88" s="37" t="str">
        <f aca="false">IF($J88="","",MATCH($J88,{"08.00";"09.00";"10.00";"11.00";"12.00";"13.00";"14.00";"15.00";"16.00";"17.00"},0))</f>
        <v/>
      </c>
      <c r="N88" s="37" t="str">
        <f aca="false">IF(OR($M88="",$K88=""),"",$M88+$K88-1)</f>
        <v/>
      </c>
      <c r="O88" s="37" t="str">
        <f aca="false">IF($A88&lt;&gt;"Seçildi","",IF(OR($M88="",$N88=""),"",IF($N88&gt;10,"⚠ Saat Taşıyor","")))</f>
        <v/>
      </c>
      <c r="P88" s="37" t="str">
        <f aca="false">IF($A88&lt;&gt;"Seçildi","",IF(OR($G88="",$I88="",$M88=""),"",IF(SUMPRODUCT(($A$7:$A$456="Seçildi")*($G$7:$G$456=$G88)*($I$7:$I$456=$I88)*(ROW($A$7:$A$456)&lt;&gt;88)*($M$7:$M$456&lt;=$N88)*($N$7:$N$456&gt;=$M88))&gt;0,"⚠ Çakışma","OK")))</f>
        <v/>
      </c>
      <c r="Q88" s="37" t="str">
        <f aca="false">IF($A88&lt;&gt;"Seçildi","",IF(OR($L88="",$I88="",$M88=""),"",IF(SUMPRODUCT(($A$7:$A$456="Seçildi")*($L$7:$L$456=$L88)*($I$7:$I$456=$I88)*(ROW($A$7:$A$456)&lt;&gt;88)*($M$7:$M$456&lt;=$N88)*($N$7:$N$456&gt;=$M88))&gt;0,"⚠ Çakışma","OK")))</f>
        <v/>
      </c>
      <c r="R88" s="37" t="str">
        <f aca="false">IF($A88&lt;&gt;"Seçildi","",IF(OR($D88="",$I88="",$M88=""),"",IF(SUMPRODUCT(($A$7:$A$456="Seçildi")*($D$7:$D$456=$D88)*($I$7:$I$456=$I88)*(ROW($A$7:$A$456)&lt;&gt;88)*($M$7:$M$456&lt;=$N88)*($N$7:$N$456&gt;=$M88))&gt;0,"⚠ Çakışma","OK")))</f>
        <v/>
      </c>
      <c r="S88" s="37" t="str">
        <f aca="false">IF($A88&lt;&gt;"Seçildi","",IF(SUM($K88,$K89,$K90)&lt;&gt;$F88,"⚠ Dağılım: "&amp;SUM($K88:$K90)&amp;"/"&amp;$F88&amp;" saat","✓ Tamam"))</f>
        <v/>
      </c>
      <c r="T88" s="37" t="str">
        <f aca="false">IF($A88&lt;&gt;"Seçildi","",IF(OR($O88&lt;&gt;"",$P88="⚠ Çakışma",$Q88="⚠ Çakışma",$R88="⚠ Çakışma",LEFT($S88&amp;" ",1)="⚠"),"⚠ Kontrol Et","✓ Uygun"))</f>
        <v/>
      </c>
    </row>
    <row r="89" customFormat="false" ht="13.5" hidden="false" customHeight="true" outlineLevel="0" collapsed="false">
      <c r="A89" s="37" t="str">
        <f aca="false">'1-Ders Havuzu'!K30</f>
        <v>Seçilmedi</v>
      </c>
      <c r="B89" s="37" t="str">
        <f aca="false">IF($A89="Seçildi",IF('1-Ders Havuzu'!C30="","",'1-Ders Havuzu'!C30),"")</f>
        <v/>
      </c>
      <c r="C89" s="38" t="str">
        <f aca="false">IF($A89="Seçildi",IF('1-Ders Havuzu'!D30="","",'1-Ders Havuzu'!D30),"")</f>
        <v/>
      </c>
      <c r="D89" s="37" t="str">
        <f aca="false">IF($A89="Seçildi",IF('1-Ders Havuzu'!B30="","",'1-Ders Havuzu'!B30),"")</f>
        <v/>
      </c>
      <c r="E89" s="37" t="str">
        <f aca="false">IF($A89="Seçildi",IF('1-Ders Havuzu'!A30="","",'1-Ders Havuzu'!A30),"")</f>
        <v/>
      </c>
      <c r="F89" s="37" t="str">
        <f aca="false">IF($A89="Seçildi",IF('1-Ders Havuzu'!H30="","",'1-Ders Havuzu'!H30),"")</f>
        <v/>
      </c>
      <c r="G89" s="37" t="str">
        <f aca="false">IF($A89="Seçildi",IF('2-Ders-Öğr.Elemanı Eşleştirme'!H30="","",'2-Ders-Öğr.Elemanı Eşleştirme'!H30),"")</f>
        <v/>
      </c>
      <c r="H89" s="39" t="n">
        <v>2</v>
      </c>
      <c r="I89" s="36"/>
      <c r="J89" s="36"/>
      <c r="K89" s="36"/>
      <c r="L89" s="36"/>
      <c r="M89" s="37" t="str">
        <f aca="false">IF($J89="","",MATCH($J89,{"08.00";"09.00";"10.00";"11.00";"12.00";"13.00";"14.00";"15.00";"16.00";"17.00"},0))</f>
        <v/>
      </c>
      <c r="N89" s="37" t="str">
        <f aca="false">IF(OR($M89="",$K89=""),"",$M89+$K89-1)</f>
        <v/>
      </c>
      <c r="O89" s="37" t="str">
        <f aca="false">IF($A89&lt;&gt;"Seçildi","",IF(OR($M89="",$N89=""),"",IF($N89&gt;10,"⚠ Saat Taşıyor","")))</f>
        <v/>
      </c>
      <c r="P89" s="37" t="str">
        <f aca="false">IF($A89&lt;&gt;"Seçildi","",IF(OR($G89="",$I89="",$M89=""),"",IF(SUMPRODUCT(($A$7:$A$456="Seçildi")*($G$7:$G$456=$G89)*($I$7:$I$456=$I89)*(ROW($A$7:$A$456)&lt;&gt;89)*($M$7:$M$456&lt;=$N89)*($N$7:$N$456&gt;=$M89))&gt;0,"⚠ Çakışma","OK")))</f>
        <v/>
      </c>
      <c r="Q89" s="37" t="str">
        <f aca="false">IF($A89&lt;&gt;"Seçildi","",IF(OR($L89="",$I89="",$M89=""),"",IF(SUMPRODUCT(($A$7:$A$456="Seçildi")*($L$7:$L$456=$L89)*($I$7:$I$456=$I89)*(ROW($A$7:$A$456)&lt;&gt;89)*($M$7:$M$456&lt;=$N89)*($N$7:$N$456&gt;=$M89))&gt;0,"⚠ Çakışma","OK")))</f>
        <v/>
      </c>
      <c r="R89" s="37" t="str">
        <f aca="false">IF($A89&lt;&gt;"Seçildi","",IF(OR($D89="",$I89="",$M89=""),"",IF(SUMPRODUCT(($A$7:$A$456="Seçildi")*($D$7:$D$456=$D89)*($I$7:$I$456=$I89)*(ROW($A$7:$A$456)&lt;&gt;89)*($M$7:$M$456&lt;=$N89)*($N$7:$N$456&gt;=$M89))&gt;0,"⚠ Çakışma","OK")))</f>
        <v/>
      </c>
      <c r="S89" s="37"/>
      <c r="T89" s="37" t="str">
        <f aca="false">IF(OR($A89&lt;&gt;"Seçildi",AND($I89="",$J89="")),"",IF(OR($O89&lt;&gt;"",$P89="⚠ Çakışma",$Q89="⚠ Çakışma",$R89="⚠ Çakışma"),"⚠ Kontrol Et","✓ Uygun"))</f>
        <v/>
      </c>
    </row>
    <row r="90" customFormat="false" ht="13.5" hidden="false" customHeight="true" outlineLevel="0" collapsed="false">
      <c r="A90" s="37" t="str">
        <f aca="false">'1-Ders Havuzu'!K30</f>
        <v>Seçilmedi</v>
      </c>
      <c r="B90" s="37" t="str">
        <f aca="false">IF($A90="Seçildi",IF('1-Ders Havuzu'!C30="","",'1-Ders Havuzu'!C30),"")</f>
        <v/>
      </c>
      <c r="C90" s="38" t="str">
        <f aca="false">IF($A90="Seçildi",IF('1-Ders Havuzu'!D30="","",'1-Ders Havuzu'!D30),"")</f>
        <v/>
      </c>
      <c r="D90" s="37" t="str">
        <f aca="false">IF($A90="Seçildi",IF('1-Ders Havuzu'!B30="","",'1-Ders Havuzu'!B30),"")</f>
        <v/>
      </c>
      <c r="E90" s="37" t="str">
        <f aca="false">IF($A90="Seçildi",IF('1-Ders Havuzu'!A30="","",'1-Ders Havuzu'!A30),"")</f>
        <v/>
      </c>
      <c r="F90" s="37" t="str">
        <f aca="false">IF($A90="Seçildi",IF('1-Ders Havuzu'!H30="","",'1-Ders Havuzu'!H30),"")</f>
        <v/>
      </c>
      <c r="G90" s="37" t="str">
        <f aca="false">IF($A90="Seçildi",IF('2-Ders-Öğr.Elemanı Eşleştirme'!H30="","",'2-Ders-Öğr.Elemanı Eşleştirme'!H30),"")</f>
        <v/>
      </c>
      <c r="H90" s="39" t="n">
        <v>3</v>
      </c>
      <c r="I90" s="36"/>
      <c r="J90" s="36"/>
      <c r="K90" s="36"/>
      <c r="L90" s="36"/>
      <c r="M90" s="37" t="str">
        <f aca="false">IF($J90="","",MATCH($J90,{"08.00";"09.00";"10.00";"11.00";"12.00";"13.00";"14.00";"15.00";"16.00";"17.00"},0))</f>
        <v/>
      </c>
      <c r="N90" s="37" t="str">
        <f aca="false">IF(OR($M90="",$K90=""),"",$M90+$K90-1)</f>
        <v/>
      </c>
      <c r="O90" s="37" t="str">
        <f aca="false">IF($A90&lt;&gt;"Seçildi","",IF(OR($M90="",$N90=""),"",IF($N90&gt;10,"⚠ Saat Taşıyor","")))</f>
        <v/>
      </c>
      <c r="P90" s="37" t="str">
        <f aca="false">IF($A90&lt;&gt;"Seçildi","",IF(OR($G90="",$I90="",$M90=""),"",IF(SUMPRODUCT(($A$7:$A$456="Seçildi")*($G$7:$G$456=$G90)*($I$7:$I$456=$I90)*(ROW($A$7:$A$456)&lt;&gt;90)*($M$7:$M$456&lt;=$N90)*($N$7:$N$456&gt;=$M90))&gt;0,"⚠ Çakışma","OK")))</f>
        <v/>
      </c>
      <c r="Q90" s="37" t="str">
        <f aca="false">IF($A90&lt;&gt;"Seçildi","",IF(OR($L90="",$I90="",$M90=""),"",IF(SUMPRODUCT(($A$7:$A$456="Seçildi")*($L$7:$L$456=$L90)*($I$7:$I$456=$I90)*(ROW($A$7:$A$456)&lt;&gt;90)*($M$7:$M$456&lt;=$N90)*($N$7:$N$456&gt;=$M90))&gt;0,"⚠ Çakışma","OK")))</f>
        <v/>
      </c>
      <c r="R90" s="37" t="str">
        <f aca="false">IF($A90&lt;&gt;"Seçildi","",IF(OR($D90="",$I90="",$M90=""),"",IF(SUMPRODUCT(($A$7:$A$456="Seçildi")*($D$7:$D$456=$D90)*($I$7:$I$456=$I90)*(ROW($A$7:$A$456)&lt;&gt;90)*($M$7:$M$456&lt;=$N90)*($N$7:$N$456&gt;=$M90))&gt;0,"⚠ Çakışma","OK")))</f>
        <v/>
      </c>
      <c r="S90" s="37"/>
      <c r="T90" s="37" t="str">
        <f aca="false">IF(OR($A90&lt;&gt;"Seçildi",AND($I90="",$J90="")),"",IF(OR($O90&lt;&gt;"",$P90="⚠ Çakışma",$Q90="⚠ Çakışma",$R90="⚠ Çakışma"),"⚠ Kontrol Et","✓ Uygun"))</f>
        <v/>
      </c>
    </row>
    <row r="91" customFormat="false" ht="13.5" hidden="false" customHeight="true" outlineLevel="0" collapsed="false">
      <c r="A91" s="33" t="str">
        <f aca="false">'1-Ders Havuzu'!K31</f>
        <v>Seçilmedi</v>
      </c>
      <c r="B91" s="33" t="str">
        <f aca="false">IF($A91="Seçildi",IF('1-Ders Havuzu'!C31="","",'1-Ders Havuzu'!C31),"")</f>
        <v/>
      </c>
      <c r="C91" s="34" t="str">
        <f aca="false">IF($A91="Seçildi",IF('1-Ders Havuzu'!D31="","",'1-Ders Havuzu'!D31),"")</f>
        <v/>
      </c>
      <c r="D91" s="33" t="str">
        <f aca="false">IF($A91="Seçildi",IF('1-Ders Havuzu'!B31="","",'1-Ders Havuzu'!B31),"")</f>
        <v/>
      </c>
      <c r="E91" s="33" t="str">
        <f aca="false">IF($A91="Seçildi",IF('1-Ders Havuzu'!A31="","",'1-Ders Havuzu'!A31),"")</f>
        <v/>
      </c>
      <c r="F91" s="33" t="str">
        <f aca="false">IF($A91="Seçildi",IF('1-Ders Havuzu'!H31="","",'1-Ders Havuzu'!H31),"")</f>
        <v/>
      </c>
      <c r="G91" s="33" t="str">
        <f aca="false">IF($A91="Seçildi",IF('2-Ders-Öğr.Elemanı Eşleştirme'!H31="","",'2-Ders-Öğr.Elemanı Eşleştirme'!H31),"")</f>
        <v/>
      </c>
      <c r="H91" s="35" t="n">
        <v>1</v>
      </c>
      <c r="I91" s="36"/>
      <c r="J91" s="36"/>
      <c r="K91" s="36"/>
      <c r="L91" s="36"/>
      <c r="M91" s="33" t="str">
        <f aca="false">IF($J91="","",MATCH($J91,{"08.00";"09.00";"10.00";"11.00";"12.00";"13.00";"14.00";"15.00";"16.00";"17.00"},0))</f>
        <v/>
      </c>
      <c r="N91" s="33" t="str">
        <f aca="false">IF(OR($M91="",$K91=""),"",$M91+$K91-1)</f>
        <v/>
      </c>
      <c r="O91" s="33" t="str">
        <f aca="false">IF($A91&lt;&gt;"Seçildi","",IF(OR($M91="",$N91=""),"",IF($N91&gt;10,"⚠ Saat Taşıyor","")))</f>
        <v/>
      </c>
      <c r="P91" s="33" t="str">
        <f aca="false">IF($A91&lt;&gt;"Seçildi","",IF(OR($G91="",$I91="",$M91=""),"",IF(SUMPRODUCT(($A$7:$A$456="Seçildi")*($G$7:$G$456=$G91)*($I$7:$I$456=$I91)*(ROW($A$7:$A$456)&lt;&gt;91)*($M$7:$M$456&lt;=$N91)*($N$7:$N$456&gt;=$M91))&gt;0,"⚠ Çakışma","OK")))</f>
        <v/>
      </c>
      <c r="Q91" s="33" t="str">
        <f aca="false">IF($A91&lt;&gt;"Seçildi","",IF(OR($L91="",$I91="",$M91=""),"",IF(SUMPRODUCT(($A$7:$A$456="Seçildi")*($L$7:$L$456=$L91)*($I$7:$I$456=$I91)*(ROW($A$7:$A$456)&lt;&gt;91)*($M$7:$M$456&lt;=$N91)*($N$7:$N$456&gt;=$M91))&gt;0,"⚠ Çakışma","OK")))</f>
        <v/>
      </c>
      <c r="R91" s="33" t="str">
        <f aca="false">IF($A91&lt;&gt;"Seçildi","",IF(OR($D91="",$I91="",$M91=""),"",IF(SUMPRODUCT(($A$7:$A$456="Seçildi")*($D$7:$D$456=$D91)*($I$7:$I$456=$I91)*(ROW($A$7:$A$456)&lt;&gt;91)*($M$7:$M$456&lt;=$N91)*($N$7:$N$456&gt;=$M91))&gt;0,"⚠ Çakışma","OK")))</f>
        <v/>
      </c>
      <c r="S91" s="33" t="str">
        <f aca="false">IF($A91&lt;&gt;"Seçildi","",IF(SUM($K91,$K92,$K93)&lt;&gt;$F91,"⚠ Dağılım: "&amp;SUM($K91:$K93)&amp;"/"&amp;$F91&amp;" saat","✓ Tamam"))</f>
        <v/>
      </c>
      <c r="T91" s="33" t="str">
        <f aca="false">IF($A91&lt;&gt;"Seçildi","",IF(OR($O91&lt;&gt;"",$P91="⚠ Çakışma",$Q91="⚠ Çakışma",$R91="⚠ Çakışma",LEFT($S91&amp;" ",1)="⚠"),"⚠ Kontrol Et","✓ Uygun"))</f>
        <v/>
      </c>
    </row>
    <row r="92" customFormat="false" ht="13.5" hidden="false" customHeight="true" outlineLevel="0" collapsed="false">
      <c r="A92" s="33" t="str">
        <f aca="false">'1-Ders Havuzu'!K31</f>
        <v>Seçilmedi</v>
      </c>
      <c r="B92" s="33" t="str">
        <f aca="false">IF($A92="Seçildi",IF('1-Ders Havuzu'!C31="","",'1-Ders Havuzu'!C31),"")</f>
        <v/>
      </c>
      <c r="C92" s="34" t="str">
        <f aca="false">IF($A92="Seçildi",IF('1-Ders Havuzu'!D31="","",'1-Ders Havuzu'!D31),"")</f>
        <v/>
      </c>
      <c r="D92" s="33" t="str">
        <f aca="false">IF($A92="Seçildi",IF('1-Ders Havuzu'!B31="","",'1-Ders Havuzu'!B31),"")</f>
        <v/>
      </c>
      <c r="E92" s="33" t="str">
        <f aca="false">IF($A92="Seçildi",IF('1-Ders Havuzu'!A31="","",'1-Ders Havuzu'!A31),"")</f>
        <v/>
      </c>
      <c r="F92" s="33" t="str">
        <f aca="false">IF($A92="Seçildi",IF('1-Ders Havuzu'!H31="","",'1-Ders Havuzu'!H31),"")</f>
        <v/>
      </c>
      <c r="G92" s="33" t="str">
        <f aca="false">IF($A92="Seçildi",IF('2-Ders-Öğr.Elemanı Eşleştirme'!H31="","",'2-Ders-Öğr.Elemanı Eşleştirme'!H31),"")</f>
        <v/>
      </c>
      <c r="H92" s="35" t="n">
        <v>2</v>
      </c>
      <c r="I92" s="36"/>
      <c r="J92" s="36"/>
      <c r="K92" s="36"/>
      <c r="L92" s="36"/>
      <c r="M92" s="33" t="str">
        <f aca="false">IF($J92="","",MATCH($J92,{"08.00";"09.00";"10.00";"11.00";"12.00";"13.00";"14.00";"15.00";"16.00";"17.00"},0))</f>
        <v/>
      </c>
      <c r="N92" s="33" t="str">
        <f aca="false">IF(OR($M92="",$K92=""),"",$M92+$K92-1)</f>
        <v/>
      </c>
      <c r="O92" s="33" t="str">
        <f aca="false">IF($A92&lt;&gt;"Seçildi","",IF(OR($M92="",$N92=""),"",IF($N92&gt;10,"⚠ Saat Taşıyor","")))</f>
        <v/>
      </c>
      <c r="P92" s="33" t="str">
        <f aca="false">IF($A92&lt;&gt;"Seçildi","",IF(OR($G92="",$I92="",$M92=""),"",IF(SUMPRODUCT(($A$7:$A$456="Seçildi")*($G$7:$G$456=$G92)*($I$7:$I$456=$I92)*(ROW($A$7:$A$456)&lt;&gt;92)*($M$7:$M$456&lt;=$N92)*($N$7:$N$456&gt;=$M92))&gt;0,"⚠ Çakışma","OK")))</f>
        <v/>
      </c>
      <c r="Q92" s="33" t="str">
        <f aca="false">IF($A92&lt;&gt;"Seçildi","",IF(OR($L92="",$I92="",$M92=""),"",IF(SUMPRODUCT(($A$7:$A$456="Seçildi")*($L$7:$L$456=$L92)*($I$7:$I$456=$I92)*(ROW($A$7:$A$456)&lt;&gt;92)*($M$7:$M$456&lt;=$N92)*($N$7:$N$456&gt;=$M92))&gt;0,"⚠ Çakışma","OK")))</f>
        <v/>
      </c>
      <c r="R92" s="33" t="str">
        <f aca="false">IF($A92&lt;&gt;"Seçildi","",IF(OR($D92="",$I92="",$M92=""),"",IF(SUMPRODUCT(($A$7:$A$456="Seçildi")*($D$7:$D$456=$D92)*($I$7:$I$456=$I92)*(ROW($A$7:$A$456)&lt;&gt;92)*($M$7:$M$456&lt;=$N92)*($N$7:$N$456&gt;=$M92))&gt;0,"⚠ Çakışma","OK")))</f>
        <v/>
      </c>
      <c r="S92" s="33"/>
      <c r="T92" s="33" t="str">
        <f aca="false">IF(OR($A92&lt;&gt;"Seçildi",AND($I92="",$J92="")),"",IF(OR($O92&lt;&gt;"",$P92="⚠ Çakışma",$Q92="⚠ Çakışma",$R92="⚠ Çakışma"),"⚠ Kontrol Et","✓ Uygun"))</f>
        <v/>
      </c>
    </row>
    <row r="93" customFormat="false" ht="13.5" hidden="false" customHeight="true" outlineLevel="0" collapsed="false">
      <c r="A93" s="33" t="str">
        <f aca="false">'1-Ders Havuzu'!K31</f>
        <v>Seçilmedi</v>
      </c>
      <c r="B93" s="33" t="str">
        <f aca="false">IF($A93="Seçildi",IF('1-Ders Havuzu'!C31="","",'1-Ders Havuzu'!C31),"")</f>
        <v/>
      </c>
      <c r="C93" s="34" t="str">
        <f aca="false">IF($A93="Seçildi",IF('1-Ders Havuzu'!D31="","",'1-Ders Havuzu'!D31),"")</f>
        <v/>
      </c>
      <c r="D93" s="33" t="str">
        <f aca="false">IF($A93="Seçildi",IF('1-Ders Havuzu'!B31="","",'1-Ders Havuzu'!B31),"")</f>
        <v/>
      </c>
      <c r="E93" s="33" t="str">
        <f aca="false">IF($A93="Seçildi",IF('1-Ders Havuzu'!A31="","",'1-Ders Havuzu'!A31),"")</f>
        <v/>
      </c>
      <c r="F93" s="33" t="str">
        <f aca="false">IF($A93="Seçildi",IF('1-Ders Havuzu'!H31="","",'1-Ders Havuzu'!H31),"")</f>
        <v/>
      </c>
      <c r="G93" s="33" t="str">
        <f aca="false">IF($A93="Seçildi",IF('2-Ders-Öğr.Elemanı Eşleştirme'!H31="","",'2-Ders-Öğr.Elemanı Eşleştirme'!H31),"")</f>
        <v/>
      </c>
      <c r="H93" s="35" t="n">
        <v>3</v>
      </c>
      <c r="I93" s="36"/>
      <c r="J93" s="36"/>
      <c r="K93" s="36"/>
      <c r="L93" s="36"/>
      <c r="M93" s="33" t="str">
        <f aca="false">IF($J93="","",MATCH($J93,{"08.00";"09.00";"10.00";"11.00";"12.00";"13.00";"14.00";"15.00";"16.00";"17.00"},0))</f>
        <v/>
      </c>
      <c r="N93" s="33" t="str">
        <f aca="false">IF(OR($M93="",$K93=""),"",$M93+$K93-1)</f>
        <v/>
      </c>
      <c r="O93" s="33" t="str">
        <f aca="false">IF($A93&lt;&gt;"Seçildi","",IF(OR($M93="",$N93=""),"",IF($N93&gt;10,"⚠ Saat Taşıyor","")))</f>
        <v/>
      </c>
      <c r="P93" s="33" t="str">
        <f aca="false">IF($A93&lt;&gt;"Seçildi","",IF(OR($G93="",$I93="",$M93=""),"",IF(SUMPRODUCT(($A$7:$A$456="Seçildi")*($G$7:$G$456=$G93)*($I$7:$I$456=$I93)*(ROW($A$7:$A$456)&lt;&gt;93)*($M$7:$M$456&lt;=$N93)*($N$7:$N$456&gt;=$M93))&gt;0,"⚠ Çakışma","OK")))</f>
        <v/>
      </c>
      <c r="Q93" s="33" t="str">
        <f aca="false">IF($A93&lt;&gt;"Seçildi","",IF(OR($L93="",$I93="",$M93=""),"",IF(SUMPRODUCT(($A$7:$A$456="Seçildi")*($L$7:$L$456=$L93)*($I$7:$I$456=$I93)*(ROW($A$7:$A$456)&lt;&gt;93)*($M$7:$M$456&lt;=$N93)*($N$7:$N$456&gt;=$M93))&gt;0,"⚠ Çakışma","OK")))</f>
        <v/>
      </c>
      <c r="R93" s="33" t="str">
        <f aca="false">IF($A93&lt;&gt;"Seçildi","",IF(OR($D93="",$I93="",$M93=""),"",IF(SUMPRODUCT(($A$7:$A$456="Seçildi")*($D$7:$D$456=$D93)*($I$7:$I$456=$I93)*(ROW($A$7:$A$456)&lt;&gt;93)*($M$7:$M$456&lt;=$N93)*($N$7:$N$456&gt;=$M93))&gt;0,"⚠ Çakışma","OK")))</f>
        <v/>
      </c>
      <c r="S93" s="33"/>
      <c r="T93" s="33" t="str">
        <f aca="false">IF(OR($A93&lt;&gt;"Seçildi",AND($I93="",$J93="")),"",IF(OR($O93&lt;&gt;"",$P93="⚠ Çakışma",$Q93="⚠ Çakışma",$R93="⚠ Çakışma"),"⚠ Kontrol Et","✓ Uygun"))</f>
        <v/>
      </c>
    </row>
    <row r="94" customFormat="false" ht="13.5" hidden="false" customHeight="true" outlineLevel="0" collapsed="false">
      <c r="A94" s="37" t="str">
        <f aca="false">'1-Ders Havuzu'!K32</f>
        <v>Seçilmedi</v>
      </c>
      <c r="B94" s="37" t="str">
        <f aca="false">IF($A94="Seçildi",IF('1-Ders Havuzu'!C32="","",'1-Ders Havuzu'!C32),"")</f>
        <v/>
      </c>
      <c r="C94" s="38" t="str">
        <f aca="false">IF($A94="Seçildi",IF('1-Ders Havuzu'!D32="","",'1-Ders Havuzu'!D32),"")</f>
        <v/>
      </c>
      <c r="D94" s="37" t="str">
        <f aca="false">IF($A94="Seçildi",IF('1-Ders Havuzu'!B32="","",'1-Ders Havuzu'!B32),"")</f>
        <v/>
      </c>
      <c r="E94" s="37" t="str">
        <f aca="false">IF($A94="Seçildi",IF('1-Ders Havuzu'!A32="","",'1-Ders Havuzu'!A32),"")</f>
        <v/>
      </c>
      <c r="F94" s="37" t="str">
        <f aca="false">IF($A94="Seçildi",IF('1-Ders Havuzu'!H32="","",'1-Ders Havuzu'!H32),"")</f>
        <v/>
      </c>
      <c r="G94" s="37" t="str">
        <f aca="false">IF($A94="Seçildi",IF('2-Ders-Öğr.Elemanı Eşleştirme'!H32="","",'2-Ders-Öğr.Elemanı Eşleştirme'!H32),"")</f>
        <v/>
      </c>
      <c r="H94" s="39" t="n">
        <v>1</v>
      </c>
      <c r="I94" s="36"/>
      <c r="J94" s="36"/>
      <c r="K94" s="36"/>
      <c r="L94" s="36"/>
      <c r="M94" s="37" t="str">
        <f aca="false">IF($J94="","",MATCH($J94,{"08.00";"09.00";"10.00";"11.00";"12.00";"13.00";"14.00";"15.00";"16.00";"17.00"},0))</f>
        <v/>
      </c>
      <c r="N94" s="37" t="str">
        <f aca="false">IF(OR($M94="",$K94=""),"",$M94+$K94-1)</f>
        <v/>
      </c>
      <c r="O94" s="37" t="str">
        <f aca="false">IF($A94&lt;&gt;"Seçildi","",IF(OR($M94="",$N94=""),"",IF($N94&gt;10,"⚠ Saat Taşıyor","")))</f>
        <v/>
      </c>
      <c r="P94" s="37" t="str">
        <f aca="false">IF($A94&lt;&gt;"Seçildi","",IF(OR($G94="",$I94="",$M94=""),"",IF(SUMPRODUCT(($A$7:$A$456="Seçildi")*($G$7:$G$456=$G94)*($I$7:$I$456=$I94)*(ROW($A$7:$A$456)&lt;&gt;94)*($M$7:$M$456&lt;=$N94)*($N$7:$N$456&gt;=$M94))&gt;0,"⚠ Çakışma","OK")))</f>
        <v/>
      </c>
      <c r="Q94" s="37" t="str">
        <f aca="false">IF($A94&lt;&gt;"Seçildi","",IF(OR($L94="",$I94="",$M94=""),"",IF(SUMPRODUCT(($A$7:$A$456="Seçildi")*($L$7:$L$456=$L94)*($I$7:$I$456=$I94)*(ROW($A$7:$A$456)&lt;&gt;94)*($M$7:$M$456&lt;=$N94)*($N$7:$N$456&gt;=$M94))&gt;0,"⚠ Çakışma","OK")))</f>
        <v/>
      </c>
      <c r="R94" s="37" t="str">
        <f aca="false">IF($A94&lt;&gt;"Seçildi","",IF(OR($D94="",$I94="",$M94=""),"",IF(SUMPRODUCT(($A$7:$A$456="Seçildi")*($D$7:$D$456=$D94)*($I$7:$I$456=$I94)*(ROW($A$7:$A$456)&lt;&gt;94)*($M$7:$M$456&lt;=$N94)*($N$7:$N$456&gt;=$M94))&gt;0,"⚠ Çakışma","OK")))</f>
        <v/>
      </c>
      <c r="S94" s="37" t="str">
        <f aca="false">IF($A94&lt;&gt;"Seçildi","",IF(SUM($K94,$K95,$K96)&lt;&gt;$F94,"⚠ Dağılım: "&amp;SUM($K94:$K96)&amp;"/"&amp;$F94&amp;" saat","✓ Tamam"))</f>
        <v/>
      </c>
      <c r="T94" s="37" t="str">
        <f aca="false">IF($A94&lt;&gt;"Seçildi","",IF(OR($O94&lt;&gt;"",$P94="⚠ Çakışma",$Q94="⚠ Çakışma",$R94="⚠ Çakışma",LEFT($S94&amp;" ",1)="⚠"),"⚠ Kontrol Et","✓ Uygun"))</f>
        <v/>
      </c>
    </row>
    <row r="95" customFormat="false" ht="13.5" hidden="false" customHeight="true" outlineLevel="0" collapsed="false">
      <c r="A95" s="37" t="str">
        <f aca="false">'1-Ders Havuzu'!K32</f>
        <v>Seçilmedi</v>
      </c>
      <c r="B95" s="37" t="str">
        <f aca="false">IF($A95="Seçildi",IF('1-Ders Havuzu'!C32="","",'1-Ders Havuzu'!C32),"")</f>
        <v/>
      </c>
      <c r="C95" s="38" t="str">
        <f aca="false">IF($A95="Seçildi",IF('1-Ders Havuzu'!D32="","",'1-Ders Havuzu'!D32),"")</f>
        <v/>
      </c>
      <c r="D95" s="37" t="str">
        <f aca="false">IF($A95="Seçildi",IF('1-Ders Havuzu'!B32="","",'1-Ders Havuzu'!B32),"")</f>
        <v/>
      </c>
      <c r="E95" s="37" t="str">
        <f aca="false">IF($A95="Seçildi",IF('1-Ders Havuzu'!A32="","",'1-Ders Havuzu'!A32),"")</f>
        <v/>
      </c>
      <c r="F95" s="37" t="str">
        <f aca="false">IF($A95="Seçildi",IF('1-Ders Havuzu'!H32="","",'1-Ders Havuzu'!H32),"")</f>
        <v/>
      </c>
      <c r="G95" s="37" t="str">
        <f aca="false">IF($A95="Seçildi",IF('2-Ders-Öğr.Elemanı Eşleştirme'!H32="","",'2-Ders-Öğr.Elemanı Eşleştirme'!H32),"")</f>
        <v/>
      </c>
      <c r="H95" s="39" t="n">
        <v>2</v>
      </c>
      <c r="I95" s="36"/>
      <c r="J95" s="36"/>
      <c r="K95" s="36"/>
      <c r="L95" s="36"/>
      <c r="M95" s="37" t="str">
        <f aca="false">IF($J95="","",MATCH($J95,{"08.00";"09.00";"10.00";"11.00";"12.00";"13.00";"14.00";"15.00";"16.00";"17.00"},0))</f>
        <v/>
      </c>
      <c r="N95" s="37" t="str">
        <f aca="false">IF(OR($M95="",$K95=""),"",$M95+$K95-1)</f>
        <v/>
      </c>
      <c r="O95" s="37" t="str">
        <f aca="false">IF($A95&lt;&gt;"Seçildi","",IF(OR($M95="",$N95=""),"",IF($N95&gt;10,"⚠ Saat Taşıyor","")))</f>
        <v/>
      </c>
      <c r="P95" s="37" t="str">
        <f aca="false">IF($A95&lt;&gt;"Seçildi","",IF(OR($G95="",$I95="",$M95=""),"",IF(SUMPRODUCT(($A$7:$A$456="Seçildi")*($G$7:$G$456=$G95)*($I$7:$I$456=$I95)*(ROW($A$7:$A$456)&lt;&gt;95)*($M$7:$M$456&lt;=$N95)*($N$7:$N$456&gt;=$M95))&gt;0,"⚠ Çakışma","OK")))</f>
        <v/>
      </c>
      <c r="Q95" s="37" t="str">
        <f aca="false">IF($A95&lt;&gt;"Seçildi","",IF(OR($L95="",$I95="",$M95=""),"",IF(SUMPRODUCT(($A$7:$A$456="Seçildi")*($L$7:$L$456=$L95)*($I$7:$I$456=$I95)*(ROW($A$7:$A$456)&lt;&gt;95)*($M$7:$M$456&lt;=$N95)*($N$7:$N$456&gt;=$M95))&gt;0,"⚠ Çakışma","OK")))</f>
        <v/>
      </c>
      <c r="R95" s="37" t="str">
        <f aca="false">IF($A95&lt;&gt;"Seçildi","",IF(OR($D95="",$I95="",$M95=""),"",IF(SUMPRODUCT(($A$7:$A$456="Seçildi")*($D$7:$D$456=$D95)*($I$7:$I$456=$I95)*(ROW($A$7:$A$456)&lt;&gt;95)*($M$7:$M$456&lt;=$N95)*($N$7:$N$456&gt;=$M95))&gt;0,"⚠ Çakışma","OK")))</f>
        <v/>
      </c>
      <c r="S95" s="37"/>
      <c r="T95" s="37" t="str">
        <f aca="false">IF(OR($A95&lt;&gt;"Seçildi",AND($I95="",$J95="")),"",IF(OR($O95&lt;&gt;"",$P95="⚠ Çakışma",$Q95="⚠ Çakışma",$R95="⚠ Çakışma"),"⚠ Kontrol Et","✓ Uygun"))</f>
        <v/>
      </c>
    </row>
    <row r="96" customFormat="false" ht="13.5" hidden="false" customHeight="true" outlineLevel="0" collapsed="false">
      <c r="A96" s="37" t="str">
        <f aca="false">'1-Ders Havuzu'!K32</f>
        <v>Seçilmedi</v>
      </c>
      <c r="B96" s="37" t="str">
        <f aca="false">IF($A96="Seçildi",IF('1-Ders Havuzu'!C32="","",'1-Ders Havuzu'!C32),"")</f>
        <v/>
      </c>
      <c r="C96" s="38" t="str">
        <f aca="false">IF($A96="Seçildi",IF('1-Ders Havuzu'!D32="","",'1-Ders Havuzu'!D32),"")</f>
        <v/>
      </c>
      <c r="D96" s="37" t="str">
        <f aca="false">IF($A96="Seçildi",IF('1-Ders Havuzu'!B32="","",'1-Ders Havuzu'!B32),"")</f>
        <v/>
      </c>
      <c r="E96" s="37" t="str">
        <f aca="false">IF($A96="Seçildi",IF('1-Ders Havuzu'!A32="","",'1-Ders Havuzu'!A32),"")</f>
        <v/>
      </c>
      <c r="F96" s="37" t="str">
        <f aca="false">IF($A96="Seçildi",IF('1-Ders Havuzu'!H32="","",'1-Ders Havuzu'!H32),"")</f>
        <v/>
      </c>
      <c r="G96" s="37" t="str">
        <f aca="false">IF($A96="Seçildi",IF('2-Ders-Öğr.Elemanı Eşleştirme'!H32="","",'2-Ders-Öğr.Elemanı Eşleştirme'!H32),"")</f>
        <v/>
      </c>
      <c r="H96" s="39" t="n">
        <v>3</v>
      </c>
      <c r="I96" s="36"/>
      <c r="J96" s="36"/>
      <c r="K96" s="36"/>
      <c r="L96" s="36"/>
      <c r="M96" s="37" t="str">
        <f aca="false">IF($J96="","",MATCH($J96,{"08.00";"09.00";"10.00";"11.00";"12.00";"13.00";"14.00";"15.00";"16.00";"17.00"},0))</f>
        <v/>
      </c>
      <c r="N96" s="37" t="str">
        <f aca="false">IF(OR($M96="",$K96=""),"",$M96+$K96-1)</f>
        <v/>
      </c>
      <c r="O96" s="37" t="str">
        <f aca="false">IF($A96&lt;&gt;"Seçildi","",IF(OR($M96="",$N96=""),"",IF($N96&gt;10,"⚠ Saat Taşıyor","")))</f>
        <v/>
      </c>
      <c r="P96" s="37" t="str">
        <f aca="false">IF($A96&lt;&gt;"Seçildi","",IF(OR($G96="",$I96="",$M96=""),"",IF(SUMPRODUCT(($A$7:$A$456="Seçildi")*($G$7:$G$456=$G96)*($I$7:$I$456=$I96)*(ROW($A$7:$A$456)&lt;&gt;96)*($M$7:$M$456&lt;=$N96)*($N$7:$N$456&gt;=$M96))&gt;0,"⚠ Çakışma","OK")))</f>
        <v/>
      </c>
      <c r="Q96" s="37" t="str">
        <f aca="false">IF($A96&lt;&gt;"Seçildi","",IF(OR($L96="",$I96="",$M96=""),"",IF(SUMPRODUCT(($A$7:$A$456="Seçildi")*($L$7:$L$456=$L96)*($I$7:$I$456=$I96)*(ROW($A$7:$A$456)&lt;&gt;96)*($M$7:$M$456&lt;=$N96)*($N$7:$N$456&gt;=$M96))&gt;0,"⚠ Çakışma","OK")))</f>
        <v/>
      </c>
      <c r="R96" s="37" t="str">
        <f aca="false">IF($A96&lt;&gt;"Seçildi","",IF(OR($D96="",$I96="",$M96=""),"",IF(SUMPRODUCT(($A$7:$A$456="Seçildi")*($D$7:$D$456=$D96)*($I$7:$I$456=$I96)*(ROW($A$7:$A$456)&lt;&gt;96)*($M$7:$M$456&lt;=$N96)*($N$7:$N$456&gt;=$M96))&gt;0,"⚠ Çakışma","OK")))</f>
        <v/>
      </c>
      <c r="S96" s="37"/>
      <c r="T96" s="37" t="str">
        <f aca="false">IF(OR($A96&lt;&gt;"Seçildi",AND($I96="",$J96="")),"",IF(OR($O96&lt;&gt;"",$P96="⚠ Çakışma",$Q96="⚠ Çakışma",$R96="⚠ Çakışma"),"⚠ Kontrol Et","✓ Uygun"))</f>
        <v/>
      </c>
    </row>
    <row r="97" customFormat="false" ht="13.5" hidden="false" customHeight="true" outlineLevel="0" collapsed="false">
      <c r="A97" s="33" t="str">
        <f aca="false">'1-Ders Havuzu'!K33</f>
        <v>Seçilmedi</v>
      </c>
      <c r="B97" s="33" t="str">
        <f aca="false">IF($A97="Seçildi",IF('1-Ders Havuzu'!C33="","",'1-Ders Havuzu'!C33),"")</f>
        <v/>
      </c>
      <c r="C97" s="34" t="str">
        <f aca="false">IF($A97="Seçildi",IF('1-Ders Havuzu'!D33="","",'1-Ders Havuzu'!D33),"")</f>
        <v/>
      </c>
      <c r="D97" s="33" t="str">
        <f aca="false">IF($A97="Seçildi",IF('1-Ders Havuzu'!B33="","",'1-Ders Havuzu'!B33),"")</f>
        <v/>
      </c>
      <c r="E97" s="33" t="str">
        <f aca="false">IF($A97="Seçildi",IF('1-Ders Havuzu'!A33="","",'1-Ders Havuzu'!A33),"")</f>
        <v/>
      </c>
      <c r="F97" s="33" t="str">
        <f aca="false">IF($A97="Seçildi",IF('1-Ders Havuzu'!H33="","",'1-Ders Havuzu'!H33),"")</f>
        <v/>
      </c>
      <c r="G97" s="33" t="str">
        <f aca="false">IF($A97="Seçildi",IF('2-Ders-Öğr.Elemanı Eşleştirme'!H33="","",'2-Ders-Öğr.Elemanı Eşleştirme'!H33),"")</f>
        <v/>
      </c>
      <c r="H97" s="35" t="n">
        <v>1</v>
      </c>
      <c r="I97" s="36"/>
      <c r="J97" s="36"/>
      <c r="K97" s="36"/>
      <c r="L97" s="36"/>
      <c r="M97" s="33" t="str">
        <f aca="false">IF($J97="","",MATCH($J97,{"08.00";"09.00";"10.00";"11.00";"12.00";"13.00";"14.00";"15.00";"16.00";"17.00"},0))</f>
        <v/>
      </c>
      <c r="N97" s="33" t="str">
        <f aca="false">IF(OR($M97="",$K97=""),"",$M97+$K97-1)</f>
        <v/>
      </c>
      <c r="O97" s="33" t="str">
        <f aca="false">IF($A97&lt;&gt;"Seçildi","",IF(OR($M97="",$N97=""),"",IF($N97&gt;10,"⚠ Saat Taşıyor","")))</f>
        <v/>
      </c>
      <c r="P97" s="33" t="str">
        <f aca="false">IF($A97&lt;&gt;"Seçildi","",IF(OR($G97="",$I97="",$M97=""),"",IF(SUMPRODUCT(($A$7:$A$456="Seçildi")*($G$7:$G$456=$G97)*($I$7:$I$456=$I97)*(ROW($A$7:$A$456)&lt;&gt;97)*($M$7:$M$456&lt;=$N97)*($N$7:$N$456&gt;=$M97))&gt;0,"⚠ Çakışma","OK")))</f>
        <v/>
      </c>
      <c r="Q97" s="33" t="str">
        <f aca="false">IF($A97&lt;&gt;"Seçildi","",IF(OR($L97="",$I97="",$M97=""),"",IF(SUMPRODUCT(($A$7:$A$456="Seçildi")*($L$7:$L$456=$L97)*($I$7:$I$456=$I97)*(ROW($A$7:$A$456)&lt;&gt;97)*($M$7:$M$456&lt;=$N97)*($N$7:$N$456&gt;=$M97))&gt;0,"⚠ Çakışma","OK")))</f>
        <v/>
      </c>
      <c r="R97" s="33" t="str">
        <f aca="false">IF($A97&lt;&gt;"Seçildi","",IF(OR($D97="",$I97="",$M97=""),"",IF(SUMPRODUCT(($A$7:$A$456="Seçildi")*($D$7:$D$456=$D97)*($I$7:$I$456=$I97)*(ROW($A$7:$A$456)&lt;&gt;97)*($M$7:$M$456&lt;=$N97)*($N$7:$N$456&gt;=$M97))&gt;0,"⚠ Çakışma","OK")))</f>
        <v/>
      </c>
      <c r="S97" s="33" t="str">
        <f aca="false">IF($A97&lt;&gt;"Seçildi","",IF(SUM($K97,$K98,$K99)&lt;&gt;$F97,"⚠ Dağılım: "&amp;SUM($K97:$K99)&amp;"/"&amp;$F97&amp;" saat","✓ Tamam"))</f>
        <v/>
      </c>
      <c r="T97" s="33" t="str">
        <f aca="false">IF($A97&lt;&gt;"Seçildi","",IF(OR($O97&lt;&gt;"",$P97="⚠ Çakışma",$Q97="⚠ Çakışma",$R97="⚠ Çakışma",LEFT($S97&amp;" ",1)="⚠"),"⚠ Kontrol Et","✓ Uygun"))</f>
        <v/>
      </c>
    </row>
    <row r="98" customFormat="false" ht="13.5" hidden="false" customHeight="true" outlineLevel="0" collapsed="false">
      <c r="A98" s="33" t="str">
        <f aca="false">'1-Ders Havuzu'!K33</f>
        <v>Seçilmedi</v>
      </c>
      <c r="B98" s="33" t="str">
        <f aca="false">IF($A98="Seçildi",IF('1-Ders Havuzu'!C33="","",'1-Ders Havuzu'!C33),"")</f>
        <v/>
      </c>
      <c r="C98" s="34" t="str">
        <f aca="false">IF($A98="Seçildi",IF('1-Ders Havuzu'!D33="","",'1-Ders Havuzu'!D33),"")</f>
        <v/>
      </c>
      <c r="D98" s="33" t="str">
        <f aca="false">IF($A98="Seçildi",IF('1-Ders Havuzu'!B33="","",'1-Ders Havuzu'!B33),"")</f>
        <v/>
      </c>
      <c r="E98" s="33" t="str">
        <f aca="false">IF($A98="Seçildi",IF('1-Ders Havuzu'!A33="","",'1-Ders Havuzu'!A33),"")</f>
        <v/>
      </c>
      <c r="F98" s="33" t="str">
        <f aca="false">IF($A98="Seçildi",IF('1-Ders Havuzu'!H33="","",'1-Ders Havuzu'!H33),"")</f>
        <v/>
      </c>
      <c r="G98" s="33" t="str">
        <f aca="false">IF($A98="Seçildi",IF('2-Ders-Öğr.Elemanı Eşleştirme'!H33="","",'2-Ders-Öğr.Elemanı Eşleştirme'!H33),"")</f>
        <v/>
      </c>
      <c r="H98" s="35" t="n">
        <v>2</v>
      </c>
      <c r="I98" s="36"/>
      <c r="J98" s="36"/>
      <c r="K98" s="36"/>
      <c r="L98" s="36"/>
      <c r="M98" s="33" t="str">
        <f aca="false">IF($J98="","",MATCH($J98,{"08.00";"09.00";"10.00";"11.00";"12.00";"13.00";"14.00";"15.00";"16.00";"17.00"},0))</f>
        <v/>
      </c>
      <c r="N98" s="33" t="str">
        <f aca="false">IF(OR($M98="",$K98=""),"",$M98+$K98-1)</f>
        <v/>
      </c>
      <c r="O98" s="33" t="str">
        <f aca="false">IF($A98&lt;&gt;"Seçildi","",IF(OR($M98="",$N98=""),"",IF($N98&gt;10,"⚠ Saat Taşıyor","")))</f>
        <v/>
      </c>
      <c r="P98" s="33" t="str">
        <f aca="false">IF($A98&lt;&gt;"Seçildi","",IF(OR($G98="",$I98="",$M98=""),"",IF(SUMPRODUCT(($A$7:$A$456="Seçildi")*($G$7:$G$456=$G98)*($I$7:$I$456=$I98)*(ROW($A$7:$A$456)&lt;&gt;98)*($M$7:$M$456&lt;=$N98)*($N$7:$N$456&gt;=$M98))&gt;0,"⚠ Çakışma","OK")))</f>
        <v/>
      </c>
      <c r="Q98" s="33" t="str">
        <f aca="false">IF($A98&lt;&gt;"Seçildi","",IF(OR($L98="",$I98="",$M98=""),"",IF(SUMPRODUCT(($A$7:$A$456="Seçildi")*($L$7:$L$456=$L98)*($I$7:$I$456=$I98)*(ROW($A$7:$A$456)&lt;&gt;98)*($M$7:$M$456&lt;=$N98)*($N$7:$N$456&gt;=$M98))&gt;0,"⚠ Çakışma","OK")))</f>
        <v/>
      </c>
      <c r="R98" s="33" t="str">
        <f aca="false">IF($A98&lt;&gt;"Seçildi","",IF(OR($D98="",$I98="",$M98=""),"",IF(SUMPRODUCT(($A$7:$A$456="Seçildi")*($D$7:$D$456=$D98)*($I$7:$I$456=$I98)*(ROW($A$7:$A$456)&lt;&gt;98)*($M$7:$M$456&lt;=$N98)*($N$7:$N$456&gt;=$M98))&gt;0,"⚠ Çakışma","OK")))</f>
        <v/>
      </c>
      <c r="S98" s="33"/>
      <c r="T98" s="33" t="str">
        <f aca="false">IF(OR($A98&lt;&gt;"Seçildi",AND($I98="",$J98="")),"",IF(OR($O98&lt;&gt;"",$P98="⚠ Çakışma",$Q98="⚠ Çakışma",$R98="⚠ Çakışma"),"⚠ Kontrol Et","✓ Uygun"))</f>
        <v/>
      </c>
    </row>
    <row r="99" customFormat="false" ht="13.5" hidden="false" customHeight="true" outlineLevel="0" collapsed="false">
      <c r="A99" s="33" t="str">
        <f aca="false">'1-Ders Havuzu'!K33</f>
        <v>Seçilmedi</v>
      </c>
      <c r="B99" s="33" t="str">
        <f aca="false">IF($A99="Seçildi",IF('1-Ders Havuzu'!C33="","",'1-Ders Havuzu'!C33),"")</f>
        <v/>
      </c>
      <c r="C99" s="34" t="str">
        <f aca="false">IF($A99="Seçildi",IF('1-Ders Havuzu'!D33="","",'1-Ders Havuzu'!D33),"")</f>
        <v/>
      </c>
      <c r="D99" s="33" t="str">
        <f aca="false">IF($A99="Seçildi",IF('1-Ders Havuzu'!B33="","",'1-Ders Havuzu'!B33),"")</f>
        <v/>
      </c>
      <c r="E99" s="33" t="str">
        <f aca="false">IF($A99="Seçildi",IF('1-Ders Havuzu'!A33="","",'1-Ders Havuzu'!A33),"")</f>
        <v/>
      </c>
      <c r="F99" s="33" t="str">
        <f aca="false">IF($A99="Seçildi",IF('1-Ders Havuzu'!H33="","",'1-Ders Havuzu'!H33),"")</f>
        <v/>
      </c>
      <c r="G99" s="33" t="str">
        <f aca="false">IF($A99="Seçildi",IF('2-Ders-Öğr.Elemanı Eşleştirme'!H33="","",'2-Ders-Öğr.Elemanı Eşleştirme'!H33),"")</f>
        <v/>
      </c>
      <c r="H99" s="35" t="n">
        <v>3</v>
      </c>
      <c r="I99" s="36"/>
      <c r="J99" s="36"/>
      <c r="K99" s="36"/>
      <c r="L99" s="36"/>
      <c r="M99" s="33" t="str">
        <f aca="false">IF($J99="","",MATCH($J99,{"08.00";"09.00";"10.00";"11.00";"12.00";"13.00";"14.00";"15.00";"16.00";"17.00"},0))</f>
        <v/>
      </c>
      <c r="N99" s="33" t="str">
        <f aca="false">IF(OR($M99="",$K99=""),"",$M99+$K99-1)</f>
        <v/>
      </c>
      <c r="O99" s="33" t="str">
        <f aca="false">IF($A99&lt;&gt;"Seçildi","",IF(OR($M99="",$N99=""),"",IF($N99&gt;10,"⚠ Saat Taşıyor","")))</f>
        <v/>
      </c>
      <c r="P99" s="33" t="str">
        <f aca="false">IF($A99&lt;&gt;"Seçildi","",IF(OR($G99="",$I99="",$M99=""),"",IF(SUMPRODUCT(($A$7:$A$456="Seçildi")*($G$7:$G$456=$G99)*($I$7:$I$456=$I99)*(ROW($A$7:$A$456)&lt;&gt;99)*($M$7:$M$456&lt;=$N99)*($N$7:$N$456&gt;=$M99))&gt;0,"⚠ Çakışma","OK")))</f>
        <v/>
      </c>
      <c r="Q99" s="33" t="str">
        <f aca="false">IF($A99&lt;&gt;"Seçildi","",IF(OR($L99="",$I99="",$M99=""),"",IF(SUMPRODUCT(($A$7:$A$456="Seçildi")*($L$7:$L$456=$L99)*($I$7:$I$456=$I99)*(ROW($A$7:$A$456)&lt;&gt;99)*($M$7:$M$456&lt;=$N99)*($N$7:$N$456&gt;=$M99))&gt;0,"⚠ Çakışma","OK")))</f>
        <v/>
      </c>
      <c r="R99" s="33" t="str">
        <f aca="false">IF($A99&lt;&gt;"Seçildi","",IF(OR($D99="",$I99="",$M99=""),"",IF(SUMPRODUCT(($A$7:$A$456="Seçildi")*($D$7:$D$456=$D99)*($I$7:$I$456=$I99)*(ROW($A$7:$A$456)&lt;&gt;99)*($M$7:$M$456&lt;=$N99)*($N$7:$N$456&gt;=$M99))&gt;0,"⚠ Çakışma","OK")))</f>
        <v/>
      </c>
      <c r="S99" s="33"/>
      <c r="T99" s="33" t="str">
        <f aca="false">IF(OR($A99&lt;&gt;"Seçildi",AND($I99="",$J99="")),"",IF(OR($O99&lt;&gt;"",$P99="⚠ Çakışma",$Q99="⚠ Çakışma",$R99="⚠ Çakışma"),"⚠ Kontrol Et","✓ Uygun"))</f>
        <v/>
      </c>
    </row>
    <row r="100" customFormat="false" ht="13.5" hidden="false" customHeight="true" outlineLevel="0" collapsed="false">
      <c r="A100" s="37" t="str">
        <f aca="false">'1-Ders Havuzu'!K34</f>
        <v>Seçilmedi</v>
      </c>
      <c r="B100" s="37" t="str">
        <f aca="false">IF($A100="Seçildi",IF('1-Ders Havuzu'!C34="","",'1-Ders Havuzu'!C34),"")</f>
        <v/>
      </c>
      <c r="C100" s="38" t="str">
        <f aca="false">IF($A100="Seçildi",IF('1-Ders Havuzu'!D34="","",'1-Ders Havuzu'!D34),"")</f>
        <v/>
      </c>
      <c r="D100" s="37" t="str">
        <f aca="false">IF($A100="Seçildi",IF('1-Ders Havuzu'!B34="","",'1-Ders Havuzu'!B34),"")</f>
        <v/>
      </c>
      <c r="E100" s="37" t="str">
        <f aca="false">IF($A100="Seçildi",IF('1-Ders Havuzu'!A34="","",'1-Ders Havuzu'!A34),"")</f>
        <v/>
      </c>
      <c r="F100" s="37" t="str">
        <f aca="false">IF($A100="Seçildi",IF('1-Ders Havuzu'!H34="","",'1-Ders Havuzu'!H34),"")</f>
        <v/>
      </c>
      <c r="G100" s="37" t="str">
        <f aca="false">IF($A100="Seçildi",IF('2-Ders-Öğr.Elemanı Eşleştirme'!H34="","",'2-Ders-Öğr.Elemanı Eşleştirme'!H34),"")</f>
        <v/>
      </c>
      <c r="H100" s="39" t="n">
        <v>1</v>
      </c>
      <c r="I100" s="36"/>
      <c r="J100" s="36"/>
      <c r="K100" s="36"/>
      <c r="L100" s="36"/>
      <c r="M100" s="37" t="str">
        <f aca="false">IF($J100="","",MATCH($J100,{"08.00";"09.00";"10.00";"11.00";"12.00";"13.00";"14.00";"15.00";"16.00";"17.00"},0))</f>
        <v/>
      </c>
      <c r="N100" s="37" t="str">
        <f aca="false">IF(OR($M100="",$K100=""),"",$M100+$K100-1)</f>
        <v/>
      </c>
      <c r="O100" s="37" t="str">
        <f aca="false">IF($A100&lt;&gt;"Seçildi","",IF(OR($M100="",$N100=""),"",IF($N100&gt;10,"⚠ Saat Taşıyor","")))</f>
        <v/>
      </c>
      <c r="P100" s="37" t="str">
        <f aca="false">IF($A100&lt;&gt;"Seçildi","",IF(OR($G100="",$I100="",$M100=""),"",IF(SUMPRODUCT(($A$7:$A$456="Seçildi")*($G$7:$G$456=$G100)*($I$7:$I$456=$I100)*(ROW($A$7:$A$456)&lt;&gt;100)*($M$7:$M$456&lt;=$N100)*($N$7:$N$456&gt;=$M100))&gt;0,"⚠ Çakışma","OK")))</f>
        <v/>
      </c>
      <c r="Q100" s="37" t="str">
        <f aca="false">IF($A100&lt;&gt;"Seçildi","",IF(OR($L100="",$I100="",$M100=""),"",IF(SUMPRODUCT(($A$7:$A$456="Seçildi")*($L$7:$L$456=$L100)*($I$7:$I$456=$I100)*(ROW($A$7:$A$456)&lt;&gt;100)*($M$7:$M$456&lt;=$N100)*($N$7:$N$456&gt;=$M100))&gt;0,"⚠ Çakışma","OK")))</f>
        <v/>
      </c>
      <c r="R100" s="37" t="str">
        <f aca="false">IF($A100&lt;&gt;"Seçildi","",IF(OR($D100="",$I100="",$M100=""),"",IF(SUMPRODUCT(($A$7:$A$456="Seçildi")*($D$7:$D$456=$D100)*($I$7:$I$456=$I100)*(ROW($A$7:$A$456)&lt;&gt;100)*($M$7:$M$456&lt;=$N100)*($N$7:$N$456&gt;=$M100))&gt;0,"⚠ Çakışma","OK")))</f>
        <v/>
      </c>
      <c r="S100" s="37" t="str">
        <f aca="false">IF($A100&lt;&gt;"Seçildi","",IF(SUM($K100,$K101,$K102)&lt;&gt;$F100,"⚠ Dağılım: "&amp;SUM($K100:$K102)&amp;"/"&amp;$F100&amp;" saat","✓ Tamam"))</f>
        <v/>
      </c>
      <c r="T100" s="37" t="str">
        <f aca="false">IF($A100&lt;&gt;"Seçildi","",IF(OR($O100&lt;&gt;"",$P100="⚠ Çakışma",$Q100="⚠ Çakışma",$R100="⚠ Çakışma",LEFT($S100&amp;" ",1)="⚠"),"⚠ Kontrol Et","✓ Uygun"))</f>
        <v/>
      </c>
    </row>
    <row r="101" customFormat="false" ht="13.5" hidden="false" customHeight="true" outlineLevel="0" collapsed="false">
      <c r="A101" s="37" t="str">
        <f aca="false">'1-Ders Havuzu'!K34</f>
        <v>Seçilmedi</v>
      </c>
      <c r="B101" s="37" t="str">
        <f aca="false">IF($A101="Seçildi",IF('1-Ders Havuzu'!C34="","",'1-Ders Havuzu'!C34),"")</f>
        <v/>
      </c>
      <c r="C101" s="38" t="str">
        <f aca="false">IF($A101="Seçildi",IF('1-Ders Havuzu'!D34="","",'1-Ders Havuzu'!D34),"")</f>
        <v/>
      </c>
      <c r="D101" s="37" t="str">
        <f aca="false">IF($A101="Seçildi",IF('1-Ders Havuzu'!B34="","",'1-Ders Havuzu'!B34),"")</f>
        <v/>
      </c>
      <c r="E101" s="37" t="str">
        <f aca="false">IF($A101="Seçildi",IF('1-Ders Havuzu'!A34="","",'1-Ders Havuzu'!A34),"")</f>
        <v/>
      </c>
      <c r="F101" s="37" t="str">
        <f aca="false">IF($A101="Seçildi",IF('1-Ders Havuzu'!H34="","",'1-Ders Havuzu'!H34),"")</f>
        <v/>
      </c>
      <c r="G101" s="37" t="str">
        <f aca="false">IF($A101="Seçildi",IF('2-Ders-Öğr.Elemanı Eşleştirme'!H34="","",'2-Ders-Öğr.Elemanı Eşleştirme'!H34),"")</f>
        <v/>
      </c>
      <c r="H101" s="39" t="n">
        <v>2</v>
      </c>
      <c r="I101" s="36"/>
      <c r="J101" s="36"/>
      <c r="K101" s="36"/>
      <c r="L101" s="36"/>
      <c r="M101" s="37" t="str">
        <f aca="false">IF($J101="","",MATCH($J101,{"08.00";"09.00";"10.00";"11.00";"12.00";"13.00";"14.00";"15.00";"16.00";"17.00"},0))</f>
        <v/>
      </c>
      <c r="N101" s="37" t="str">
        <f aca="false">IF(OR($M101="",$K101=""),"",$M101+$K101-1)</f>
        <v/>
      </c>
      <c r="O101" s="37" t="str">
        <f aca="false">IF($A101&lt;&gt;"Seçildi","",IF(OR($M101="",$N101=""),"",IF($N101&gt;10,"⚠ Saat Taşıyor","")))</f>
        <v/>
      </c>
      <c r="P101" s="37" t="str">
        <f aca="false">IF($A101&lt;&gt;"Seçildi","",IF(OR($G101="",$I101="",$M101=""),"",IF(SUMPRODUCT(($A$7:$A$456="Seçildi")*($G$7:$G$456=$G101)*($I$7:$I$456=$I101)*(ROW($A$7:$A$456)&lt;&gt;101)*($M$7:$M$456&lt;=$N101)*($N$7:$N$456&gt;=$M101))&gt;0,"⚠ Çakışma","OK")))</f>
        <v/>
      </c>
      <c r="Q101" s="37" t="str">
        <f aca="false">IF($A101&lt;&gt;"Seçildi","",IF(OR($L101="",$I101="",$M101=""),"",IF(SUMPRODUCT(($A$7:$A$456="Seçildi")*($L$7:$L$456=$L101)*($I$7:$I$456=$I101)*(ROW($A$7:$A$456)&lt;&gt;101)*($M$7:$M$456&lt;=$N101)*($N$7:$N$456&gt;=$M101))&gt;0,"⚠ Çakışma","OK")))</f>
        <v/>
      </c>
      <c r="R101" s="37" t="str">
        <f aca="false">IF($A101&lt;&gt;"Seçildi","",IF(OR($D101="",$I101="",$M101=""),"",IF(SUMPRODUCT(($A$7:$A$456="Seçildi")*($D$7:$D$456=$D101)*($I$7:$I$456=$I101)*(ROW($A$7:$A$456)&lt;&gt;101)*($M$7:$M$456&lt;=$N101)*($N$7:$N$456&gt;=$M101))&gt;0,"⚠ Çakışma","OK")))</f>
        <v/>
      </c>
      <c r="S101" s="37"/>
      <c r="T101" s="37" t="str">
        <f aca="false">IF(OR($A101&lt;&gt;"Seçildi",AND($I101="",$J101="")),"",IF(OR($O101&lt;&gt;"",$P101="⚠ Çakışma",$Q101="⚠ Çakışma",$R101="⚠ Çakışma"),"⚠ Kontrol Et","✓ Uygun"))</f>
        <v/>
      </c>
    </row>
    <row r="102" customFormat="false" ht="13.5" hidden="false" customHeight="true" outlineLevel="0" collapsed="false">
      <c r="A102" s="37" t="str">
        <f aca="false">'1-Ders Havuzu'!K34</f>
        <v>Seçilmedi</v>
      </c>
      <c r="B102" s="37" t="str">
        <f aca="false">IF($A102="Seçildi",IF('1-Ders Havuzu'!C34="","",'1-Ders Havuzu'!C34),"")</f>
        <v/>
      </c>
      <c r="C102" s="38" t="str">
        <f aca="false">IF($A102="Seçildi",IF('1-Ders Havuzu'!D34="","",'1-Ders Havuzu'!D34),"")</f>
        <v/>
      </c>
      <c r="D102" s="37" t="str">
        <f aca="false">IF($A102="Seçildi",IF('1-Ders Havuzu'!B34="","",'1-Ders Havuzu'!B34),"")</f>
        <v/>
      </c>
      <c r="E102" s="37" t="str">
        <f aca="false">IF($A102="Seçildi",IF('1-Ders Havuzu'!A34="","",'1-Ders Havuzu'!A34),"")</f>
        <v/>
      </c>
      <c r="F102" s="37" t="str">
        <f aca="false">IF($A102="Seçildi",IF('1-Ders Havuzu'!H34="","",'1-Ders Havuzu'!H34),"")</f>
        <v/>
      </c>
      <c r="G102" s="37" t="str">
        <f aca="false">IF($A102="Seçildi",IF('2-Ders-Öğr.Elemanı Eşleştirme'!H34="","",'2-Ders-Öğr.Elemanı Eşleştirme'!H34),"")</f>
        <v/>
      </c>
      <c r="H102" s="39" t="n">
        <v>3</v>
      </c>
      <c r="I102" s="36"/>
      <c r="J102" s="36"/>
      <c r="K102" s="36"/>
      <c r="L102" s="36"/>
      <c r="M102" s="37" t="str">
        <f aca="false">IF($J102="","",MATCH($J102,{"08.00";"09.00";"10.00";"11.00";"12.00";"13.00";"14.00";"15.00";"16.00";"17.00"},0))</f>
        <v/>
      </c>
      <c r="N102" s="37" t="str">
        <f aca="false">IF(OR($M102="",$K102=""),"",$M102+$K102-1)</f>
        <v/>
      </c>
      <c r="O102" s="37" t="str">
        <f aca="false">IF($A102&lt;&gt;"Seçildi","",IF(OR($M102="",$N102=""),"",IF($N102&gt;10,"⚠ Saat Taşıyor","")))</f>
        <v/>
      </c>
      <c r="P102" s="37" t="str">
        <f aca="false">IF($A102&lt;&gt;"Seçildi","",IF(OR($G102="",$I102="",$M102=""),"",IF(SUMPRODUCT(($A$7:$A$456="Seçildi")*($G$7:$G$456=$G102)*($I$7:$I$456=$I102)*(ROW($A$7:$A$456)&lt;&gt;102)*($M$7:$M$456&lt;=$N102)*($N$7:$N$456&gt;=$M102))&gt;0,"⚠ Çakışma","OK")))</f>
        <v/>
      </c>
      <c r="Q102" s="37" t="str">
        <f aca="false">IF($A102&lt;&gt;"Seçildi","",IF(OR($L102="",$I102="",$M102=""),"",IF(SUMPRODUCT(($A$7:$A$456="Seçildi")*($L$7:$L$456=$L102)*($I$7:$I$456=$I102)*(ROW($A$7:$A$456)&lt;&gt;102)*($M$7:$M$456&lt;=$N102)*($N$7:$N$456&gt;=$M102))&gt;0,"⚠ Çakışma","OK")))</f>
        <v/>
      </c>
      <c r="R102" s="37" t="str">
        <f aca="false">IF($A102&lt;&gt;"Seçildi","",IF(OR($D102="",$I102="",$M102=""),"",IF(SUMPRODUCT(($A$7:$A$456="Seçildi")*($D$7:$D$456=$D102)*($I$7:$I$456=$I102)*(ROW($A$7:$A$456)&lt;&gt;102)*($M$7:$M$456&lt;=$N102)*($N$7:$N$456&gt;=$M102))&gt;0,"⚠ Çakışma","OK")))</f>
        <v/>
      </c>
      <c r="S102" s="37"/>
      <c r="T102" s="37" t="str">
        <f aca="false">IF(OR($A102&lt;&gt;"Seçildi",AND($I102="",$J102="")),"",IF(OR($O102&lt;&gt;"",$P102="⚠ Çakışma",$Q102="⚠ Çakışma",$R102="⚠ Çakışma"),"⚠ Kontrol Et","✓ Uygun"))</f>
        <v/>
      </c>
    </row>
    <row r="103" customFormat="false" ht="13.5" hidden="false" customHeight="true" outlineLevel="0" collapsed="false">
      <c r="A103" s="33" t="str">
        <f aca="false">'1-Ders Havuzu'!K35</f>
        <v>Seçilmedi</v>
      </c>
      <c r="B103" s="33" t="str">
        <f aca="false">IF($A103="Seçildi",IF('1-Ders Havuzu'!C35="","",'1-Ders Havuzu'!C35),"")</f>
        <v/>
      </c>
      <c r="C103" s="34" t="str">
        <f aca="false">IF($A103="Seçildi",IF('1-Ders Havuzu'!D35="","",'1-Ders Havuzu'!D35),"")</f>
        <v/>
      </c>
      <c r="D103" s="33" t="str">
        <f aca="false">IF($A103="Seçildi",IF('1-Ders Havuzu'!B35="","",'1-Ders Havuzu'!B35),"")</f>
        <v/>
      </c>
      <c r="E103" s="33" t="str">
        <f aca="false">IF($A103="Seçildi",IF('1-Ders Havuzu'!A35="","",'1-Ders Havuzu'!A35),"")</f>
        <v/>
      </c>
      <c r="F103" s="33" t="str">
        <f aca="false">IF($A103="Seçildi",IF('1-Ders Havuzu'!H35="","",'1-Ders Havuzu'!H35),"")</f>
        <v/>
      </c>
      <c r="G103" s="33" t="str">
        <f aca="false">IF($A103="Seçildi",IF('2-Ders-Öğr.Elemanı Eşleştirme'!H35="","",'2-Ders-Öğr.Elemanı Eşleştirme'!H35),"")</f>
        <v/>
      </c>
      <c r="H103" s="35" t="n">
        <v>1</v>
      </c>
      <c r="I103" s="36"/>
      <c r="J103" s="36"/>
      <c r="K103" s="36"/>
      <c r="L103" s="36"/>
      <c r="M103" s="33" t="str">
        <f aca="false">IF($J103="","",MATCH($J103,{"08.00";"09.00";"10.00";"11.00";"12.00";"13.00";"14.00";"15.00";"16.00";"17.00"},0))</f>
        <v/>
      </c>
      <c r="N103" s="33" t="str">
        <f aca="false">IF(OR($M103="",$K103=""),"",$M103+$K103-1)</f>
        <v/>
      </c>
      <c r="O103" s="33" t="str">
        <f aca="false">IF($A103&lt;&gt;"Seçildi","",IF(OR($M103="",$N103=""),"",IF($N103&gt;10,"⚠ Saat Taşıyor","")))</f>
        <v/>
      </c>
      <c r="P103" s="33" t="str">
        <f aca="false">IF($A103&lt;&gt;"Seçildi","",IF(OR($G103="",$I103="",$M103=""),"",IF(SUMPRODUCT(($A$7:$A$456="Seçildi")*($G$7:$G$456=$G103)*($I$7:$I$456=$I103)*(ROW($A$7:$A$456)&lt;&gt;103)*($M$7:$M$456&lt;=$N103)*($N$7:$N$456&gt;=$M103))&gt;0,"⚠ Çakışma","OK")))</f>
        <v/>
      </c>
      <c r="Q103" s="33" t="str">
        <f aca="false">IF($A103&lt;&gt;"Seçildi","",IF(OR($L103="",$I103="",$M103=""),"",IF(SUMPRODUCT(($A$7:$A$456="Seçildi")*($L$7:$L$456=$L103)*($I$7:$I$456=$I103)*(ROW($A$7:$A$456)&lt;&gt;103)*($M$7:$M$456&lt;=$N103)*($N$7:$N$456&gt;=$M103))&gt;0,"⚠ Çakışma","OK")))</f>
        <v/>
      </c>
      <c r="R103" s="33" t="str">
        <f aca="false">IF($A103&lt;&gt;"Seçildi","",IF(OR($D103="",$I103="",$M103=""),"",IF(SUMPRODUCT(($A$7:$A$456="Seçildi")*($D$7:$D$456=$D103)*($I$7:$I$456=$I103)*(ROW($A$7:$A$456)&lt;&gt;103)*($M$7:$M$456&lt;=$N103)*($N$7:$N$456&gt;=$M103))&gt;0,"⚠ Çakışma","OK")))</f>
        <v/>
      </c>
      <c r="S103" s="33" t="str">
        <f aca="false">IF($A103&lt;&gt;"Seçildi","",IF(SUM($K103,$K104,$K105)&lt;&gt;$F103,"⚠ Dağılım: "&amp;SUM($K103:$K105)&amp;"/"&amp;$F103&amp;" saat","✓ Tamam"))</f>
        <v/>
      </c>
      <c r="T103" s="33" t="str">
        <f aca="false">IF($A103&lt;&gt;"Seçildi","",IF(OR($O103&lt;&gt;"",$P103="⚠ Çakışma",$Q103="⚠ Çakışma",$R103="⚠ Çakışma",LEFT($S103&amp;" ",1)="⚠"),"⚠ Kontrol Et","✓ Uygun"))</f>
        <v/>
      </c>
    </row>
    <row r="104" customFormat="false" ht="13.5" hidden="false" customHeight="true" outlineLevel="0" collapsed="false">
      <c r="A104" s="33" t="str">
        <f aca="false">'1-Ders Havuzu'!K35</f>
        <v>Seçilmedi</v>
      </c>
      <c r="B104" s="33" t="str">
        <f aca="false">IF($A104="Seçildi",IF('1-Ders Havuzu'!C35="","",'1-Ders Havuzu'!C35),"")</f>
        <v/>
      </c>
      <c r="C104" s="34" t="str">
        <f aca="false">IF($A104="Seçildi",IF('1-Ders Havuzu'!D35="","",'1-Ders Havuzu'!D35),"")</f>
        <v/>
      </c>
      <c r="D104" s="33" t="str">
        <f aca="false">IF($A104="Seçildi",IF('1-Ders Havuzu'!B35="","",'1-Ders Havuzu'!B35),"")</f>
        <v/>
      </c>
      <c r="E104" s="33" t="str">
        <f aca="false">IF($A104="Seçildi",IF('1-Ders Havuzu'!A35="","",'1-Ders Havuzu'!A35),"")</f>
        <v/>
      </c>
      <c r="F104" s="33" t="str">
        <f aca="false">IF($A104="Seçildi",IF('1-Ders Havuzu'!H35="","",'1-Ders Havuzu'!H35),"")</f>
        <v/>
      </c>
      <c r="G104" s="33" t="str">
        <f aca="false">IF($A104="Seçildi",IF('2-Ders-Öğr.Elemanı Eşleştirme'!H35="","",'2-Ders-Öğr.Elemanı Eşleştirme'!H35),"")</f>
        <v/>
      </c>
      <c r="H104" s="35" t="n">
        <v>2</v>
      </c>
      <c r="I104" s="36"/>
      <c r="J104" s="36"/>
      <c r="K104" s="36"/>
      <c r="L104" s="36"/>
      <c r="M104" s="33" t="str">
        <f aca="false">IF($J104="","",MATCH($J104,{"08.00";"09.00";"10.00";"11.00";"12.00";"13.00";"14.00";"15.00";"16.00";"17.00"},0))</f>
        <v/>
      </c>
      <c r="N104" s="33" t="str">
        <f aca="false">IF(OR($M104="",$K104=""),"",$M104+$K104-1)</f>
        <v/>
      </c>
      <c r="O104" s="33" t="str">
        <f aca="false">IF($A104&lt;&gt;"Seçildi","",IF(OR($M104="",$N104=""),"",IF($N104&gt;10,"⚠ Saat Taşıyor","")))</f>
        <v/>
      </c>
      <c r="P104" s="33" t="str">
        <f aca="false">IF($A104&lt;&gt;"Seçildi","",IF(OR($G104="",$I104="",$M104=""),"",IF(SUMPRODUCT(($A$7:$A$456="Seçildi")*($G$7:$G$456=$G104)*($I$7:$I$456=$I104)*(ROW($A$7:$A$456)&lt;&gt;104)*($M$7:$M$456&lt;=$N104)*($N$7:$N$456&gt;=$M104))&gt;0,"⚠ Çakışma","OK")))</f>
        <v/>
      </c>
      <c r="Q104" s="33" t="str">
        <f aca="false">IF($A104&lt;&gt;"Seçildi","",IF(OR($L104="",$I104="",$M104=""),"",IF(SUMPRODUCT(($A$7:$A$456="Seçildi")*($L$7:$L$456=$L104)*($I$7:$I$456=$I104)*(ROW($A$7:$A$456)&lt;&gt;104)*($M$7:$M$456&lt;=$N104)*($N$7:$N$456&gt;=$M104))&gt;0,"⚠ Çakışma","OK")))</f>
        <v/>
      </c>
      <c r="R104" s="33" t="str">
        <f aca="false">IF($A104&lt;&gt;"Seçildi","",IF(OR($D104="",$I104="",$M104=""),"",IF(SUMPRODUCT(($A$7:$A$456="Seçildi")*($D$7:$D$456=$D104)*($I$7:$I$456=$I104)*(ROW($A$7:$A$456)&lt;&gt;104)*($M$7:$M$456&lt;=$N104)*($N$7:$N$456&gt;=$M104))&gt;0,"⚠ Çakışma","OK")))</f>
        <v/>
      </c>
      <c r="S104" s="33"/>
      <c r="T104" s="33" t="str">
        <f aca="false">IF(OR($A104&lt;&gt;"Seçildi",AND($I104="",$J104="")),"",IF(OR($O104&lt;&gt;"",$P104="⚠ Çakışma",$Q104="⚠ Çakışma",$R104="⚠ Çakışma"),"⚠ Kontrol Et","✓ Uygun"))</f>
        <v/>
      </c>
    </row>
    <row r="105" customFormat="false" ht="13.5" hidden="false" customHeight="true" outlineLevel="0" collapsed="false">
      <c r="A105" s="33" t="str">
        <f aca="false">'1-Ders Havuzu'!K35</f>
        <v>Seçilmedi</v>
      </c>
      <c r="B105" s="33" t="str">
        <f aca="false">IF($A105="Seçildi",IF('1-Ders Havuzu'!C35="","",'1-Ders Havuzu'!C35),"")</f>
        <v/>
      </c>
      <c r="C105" s="34" t="str">
        <f aca="false">IF($A105="Seçildi",IF('1-Ders Havuzu'!D35="","",'1-Ders Havuzu'!D35),"")</f>
        <v/>
      </c>
      <c r="D105" s="33" t="str">
        <f aca="false">IF($A105="Seçildi",IF('1-Ders Havuzu'!B35="","",'1-Ders Havuzu'!B35),"")</f>
        <v/>
      </c>
      <c r="E105" s="33" t="str">
        <f aca="false">IF($A105="Seçildi",IF('1-Ders Havuzu'!A35="","",'1-Ders Havuzu'!A35),"")</f>
        <v/>
      </c>
      <c r="F105" s="33" t="str">
        <f aca="false">IF($A105="Seçildi",IF('1-Ders Havuzu'!H35="","",'1-Ders Havuzu'!H35),"")</f>
        <v/>
      </c>
      <c r="G105" s="33" t="str">
        <f aca="false">IF($A105="Seçildi",IF('2-Ders-Öğr.Elemanı Eşleştirme'!H35="","",'2-Ders-Öğr.Elemanı Eşleştirme'!H35),"")</f>
        <v/>
      </c>
      <c r="H105" s="35" t="n">
        <v>3</v>
      </c>
      <c r="I105" s="36"/>
      <c r="J105" s="36"/>
      <c r="K105" s="36"/>
      <c r="L105" s="36"/>
      <c r="M105" s="33" t="str">
        <f aca="false">IF($J105="","",MATCH($J105,{"08.00";"09.00";"10.00";"11.00";"12.00";"13.00";"14.00";"15.00";"16.00";"17.00"},0))</f>
        <v/>
      </c>
      <c r="N105" s="33" t="str">
        <f aca="false">IF(OR($M105="",$K105=""),"",$M105+$K105-1)</f>
        <v/>
      </c>
      <c r="O105" s="33" t="str">
        <f aca="false">IF($A105&lt;&gt;"Seçildi","",IF(OR($M105="",$N105=""),"",IF($N105&gt;10,"⚠ Saat Taşıyor","")))</f>
        <v/>
      </c>
      <c r="P105" s="33" t="str">
        <f aca="false">IF($A105&lt;&gt;"Seçildi","",IF(OR($G105="",$I105="",$M105=""),"",IF(SUMPRODUCT(($A$7:$A$456="Seçildi")*($G$7:$G$456=$G105)*($I$7:$I$456=$I105)*(ROW($A$7:$A$456)&lt;&gt;105)*($M$7:$M$456&lt;=$N105)*($N$7:$N$456&gt;=$M105))&gt;0,"⚠ Çakışma","OK")))</f>
        <v/>
      </c>
      <c r="Q105" s="33" t="str">
        <f aca="false">IF($A105&lt;&gt;"Seçildi","",IF(OR($L105="",$I105="",$M105=""),"",IF(SUMPRODUCT(($A$7:$A$456="Seçildi")*($L$7:$L$456=$L105)*($I$7:$I$456=$I105)*(ROW($A$7:$A$456)&lt;&gt;105)*($M$7:$M$456&lt;=$N105)*($N$7:$N$456&gt;=$M105))&gt;0,"⚠ Çakışma","OK")))</f>
        <v/>
      </c>
      <c r="R105" s="33" t="str">
        <f aca="false">IF($A105&lt;&gt;"Seçildi","",IF(OR($D105="",$I105="",$M105=""),"",IF(SUMPRODUCT(($A$7:$A$456="Seçildi")*($D$7:$D$456=$D105)*($I$7:$I$456=$I105)*(ROW($A$7:$A$456)&lt;&gt;105)*($M$7:$M$456&lt;=$N105)*($N$7:$N$456&gt;=$M105))&gt;0,"⚠ Çakışma","OK")))</f>
        <v/>
      </c>
      <c r="S105" s="33"/>
      <c r="T105" s="33" t="str">
        <f aca="false">IF(OR($A105&lt;&gt;"Seçildi",AND($I105="",$J105="")),"",IF(OR($O105&lt;&gt;"",$P105="⚠ Çakışma",$Q105="⚠ Çakışma",$R105="⚠ Çakışma"),"⚠ Kontrol Et","✓ Uygun"))</f>
        <v/>
      </c>
    </row>
    <row r="106" customFormat="false" ht="13.5" hidden="false" customHeight="true" outlineLevel="0" collapsed="false">
      <c r="A106" s="37" t="str">
        <f aca="false">'1-Ders Havuzu'!K36</f>
        <v>Seçilmedi</v>
      </c>
      <c r="B106" s="37" t="str">
        <f aca="false">IF($A106="Seçildi",IF('1-Ders Havuzu'!C36="","",'1-Ders Havuzu'!C36),"")</f>
        <v/>
      </c>
      <c r="C106" s="38" t="str">
        <f aca="false">IF($A106="Seçildi",IF('1-Ders Havuzu'!D36="","",'1-Ders Havuzu'!D36),"")</f>
        <v/>
      </c>
      <c r="D106" s="37" t="str">
        <f aca="false">IF($A106="Seçildi",IF('1-Ders Havuzu'!B36="","",'1-Ders Havuzu'!B36),"")</f>
        <v/>
      </c>
      <c r="E106" s="37" t="str">
        <f aca="false">IF($A106="Seçildi",IF('1-Ders Havuzu'!A36="","",'1-Ders Havuzu'!A36),"")</f>
        <v/>
      </c>
      <c r="F106" s="37" t="str">
        <f aca="false">IF($A106="Seçildi",IF('1-Ders Havuzu'!H36="","",'1-Ders Havuzu'!H36),"")</f>
        <v/>
      </c>
      <c r="G106" s="37" t="str">
        <f aca="false">IF($A106="Seçildi",IF('2-Ders-Öğr.Elemanı Eşleştirme'!H36="","",'2-Ders-Öğr.Elemanı Eşleştirme'!H36),"")</f>
        <v/>
      </c>
      <c r="H106" s="39" t="n">
        <v>1</v>
      </c>
      <c r="I106" s="36"/>
      <c r="J106" s="36"/>
      <c r="K106" s="36"/>
      <c r="L106" s="36"/>
      <c r="M106" s="37" t="str">
        <f aca="false">IF($J106="","",MATCH($J106,{"08.00";"09.00";"10.00";"11.00";"12.00";"13.00";"14.00";"15.00";"16.00";"17.00"},0))</f>
        <v/>
      </c>
      <c r="N106" s="37" t="str">
        <f aca="false">IF(OR($M106="",$K106=""),"",$M106+$K106-1)</f>
        <v/>
      </c>
      <c r="O106" s="37" t="str">
        <f aca="false">IF($A106&lt;&gt;"Seçildi","",IF(OR($M106="",$N106=""),"",IF($N106&gt;10,"⚠ Saat Taşıyor","")))</f>
        <v/>
      </c>
      <c r="P106" s="37" t="str">
        <f aca="false">IF($A106&lt;&gt;"Seçildi","",IF(OR($G106="",$I106="",$M106=""),"",IF(SUMPRODUCT(($A$7:$A$456="Seçildi")*($G$7:$G$456=$G106)*($I$7:$I$456=$I106)*(ROW($A$7:$A$456)&lt;&gt;106)*($M$7:$M$456&lt;=$N106)*($N$7:$N$456&gt;=$M106))&gt;0,"⚠ Çakışma","OK")))</f>
        <v/>
      </c>
      <c r="Q106" s="37" t="str">
        <f aca="false">IF($A106&lt;&gt;"Seçildi","",IF(OR($L106="",$I106="",$M106=""),"",IF(SUMPRODUCT(($A$7:$A$456="Seçildi")*($L$7:$L$456=$L106)*($I$7:$I$456=$I106)*(ROW($A$7:$A$456)&lt;&gt;106)*($M$7:$M$456&lt;=$N106)*($N$7:$N$456&gt;=$M106))&gt;0,"⚠ Çakışma","OK")))</f>
        <v/>
      </c>
      <c r="R106" s="37" t="str">
        <f aca="false">IF($A106&lt;&gt;"Seçildi","",IF(OR($D106="",$I106="",$M106=""),"",IF(SUMPRODUCT(($A$7:$A$456="Seçildi")*($D$7:$D$456=$D106)*($I$7:$I$456=$I106)*(ROW($A$7:$A$456)&lt;&gt;106)*($M$7:$M$456&lt;=$N106)*($N$7:$N$456&gt;=$M106))&gt;0,"⚠ Çakışma","OK")))</f>
        <v/>
      </c>
      <c r="S106" s="37" t="str">
        <f aca="false">IF($A106&lt;&gt;"Seçildi","",IF(SUM($K106,$K107,$K108)&lt;&gt;$F106,"⚠ Dağılım: "&amp;SUM($K106:$K108)&amp;"/"&amp;$F106&amp;" saat","✓ Tamam"))</f>
        <v/>
      </c>
      <c r="T106" s="37" t="str">
        <f aca="false">IF($A106&lt;&gt;"Seçildi","",IF(OR($O106&lt;&gt;"",$P106="⚠ Çakışma",$Q106="⚠ Çakışma",$R106="⚠ Çakışma",LEFT($S106&amp;" ",1)="⚠"),"⚠ Kontrol Et","✓ Uygun"))</f>
        <v/>
      </c>
    </row>
    <row r="107" customFormat="false" ht="13.5" hidden="false" customHeight="true" outlineLevel="0" collapsed="false">
      <c r="A107" s="37" t="str">
        <f aca="false">'1-Ders Havuzu'!K36</f>
        <v>Seçilmedi</v>
      </c>
      <c r="B107" s="37" t="str">
        <f aca="false">IF($A107="Seçildi",IF('1-Ders Havuzu'!C36="","",'1-Ders Havuzu'!C36),"")</f>
        <v/>
      </c>
      <c r="C107" s="38" t="str">
        <f aca="false">IF($A107="Seçildi",IF('1-Ders Havuzu'!D36="","",'1-Ders Havuzu'!D36),"")</f>
        <v/>
      </c>
      <c r="D107" s="37" t="str">
        <f aca="false">IF($A107="Seçildi",IF('1-Ders Havuzu'!B36="","",'1-Ders Havuzu'!B36),"")</f>
        <v/>
      </c>
      <c r="E107" s="37" t="str">
        <f aca="false">IF($A107="Seçildi",IF('1-Ders Havuzu'!A36="","",'1-Ders Havuzu'!A36),"")</f>
        <v/>
      </c>
      <c r="F107" s="37" t="str">
        <f aca="false">IF($A107="Seçildi",IF('1-Ders Havuzu'!H36="","",'1-Ders Havuzu'!H36),"")</f>
        <v/>
      </c>
      <c r="G107" s="37" t="str">
        <f aca="false">IF($A107="Seçildi",IF('2-Ders-Öğr.Elemanı Eşleştirme'!H36="","",'2-Ders-Öğr.Elemanı Eşleştirme'!H36),"")</f>
        <v/>
      </c>
      <c r="H107" s="39" t="n">
        <v>2</v>
      </c>
      <c r="I107" s="36"/>
      <c r="J107" s="36"/>
      <c r="K107" s="36"/>
      <c r="L107" s="36"/>
      <c r="M107" s="37" t="str">
        <f aca="false">IF($J107="","",MATCH($J107,{"08.00";"09.00";"10.00";"11.00";"12.00";"13.00";"14.00";"15.00";"16.00";"17.00"},0))</f>
        <v/>
      </c>
      <c r="N107" s="37" t="str">
        <f aca="false">IF(OR($M107="",$K107=""),"",$M107+$K107-1)</f>
        <v/>
      </c>
      <c r="O107" s="37" t="str">
        <f aca="false">IF($A107&lt;&gt;"Seçildi","",IF(OR($M107="",$N107=""),"",IF($N107&gt;10,"⚠ Saat Taşıyor","")))</f>
        <v/>
      </c>
      <c r="P107" s="37" t="str">
        <f aca="false">IF($A107&lt;&gt;"Seçildi","",IF(OR($G107="",$I107="",$M107=""),"",IF(SUMPRODUCT(($A$7:$A$456="Seçildi")*($G$7:$G$456=$G107)*($I$7:$I$456=$I107)*(ROW($A$7:$A$456)&lt;&gt;107)*($M$7:$M$456&lt;=$N107)*($N$7:$N$456&gt;=$M107))&gt;0,"⚠ Çakışma","OK")))</f>
        <v/>
      </c>
      <c r="Q107" s="37" t="str">
        <f aca="false">IF($A107&lt;&gt;"Seçildi","",IF(OR($L107="",$I107="",$M107=""),"",IF(SUMPRODUCT(($A$7:$A$456="Seçildi")*($L$7:$L$456=$L107)*($I$7:$I$456=$I107)*(ROW($A$7:$A$456)&lt;&gt;107)*($M$7:$M$456&lt;=$N107)*($N$7:$N$456&gt;=$M107))&gt;0,"⚠ Çakışma","OK")))</f>
        <v/>
      </c>
      <c r="R107" s="37" t="str">
        <f aca="false">IF($A107&lt;&gt;"Seçildi","",IF(OR($D107="",$I107="",$M107=""),"",IF(SUMPRODUCT(($A$7:$A$456="Seçildi")*($D$7:$D$456=$D107)*($I$7:$I$456=$I107)*(ROW($A$7:$A$456)&lt;&gt;107)*($M$7:$M$456&lt;=$N107)*($N$7:$N$456&gt;=$M107))&gt;0,"⚠ Çakışma","OK")))</f>
        <v/>
      </c>
      <c r="S107" s="37"/>
      <c r="T107" s="37" t="str">
        <f aca="false">IF(OR($A107&lt;&gt;"Seçildi",AND($I107="",$J107="")),"",IF(OR($O107&lt;&gt;"",$P107="⚠ Çakışma",$Q107="⚠ Çakışma",$R107="⚠ Çakışma"),"⚠ Kontrol Et","✓ Uygun"))</f>
        <v/>
      </c>
    </row>
    <row r="108" customFormat="false" ht="13.5" hidden="false" customHeight="true" outlineLevel="0" collapsed="false">
      <c r="A108" s="37" t="str">
        <f aca="false">'1-Ders Havuzu'!K36</f>
        <v>Seçilmedi</v>
      </c>
      <c r="B108" s="37" t="str">
        <f aca="false">IF($A108="Seçildi",IF('1-Ders Havuzu'!C36="","",'1-Ders Havuzu'!C36),"")</f>
        <v/>
      </c>
      <c r="C108" s="38" t="str">
        <f aca="false">IF($A108="Seçildi",IF('1-Ders Havuzu'!D36="","",'1-Ders Havuzu'!D36),"")</f>
        <v/>
      </c>
      <c r="D108" s="37" t="str">
        <f aca="false">IF($A108="Seçildi",IF('1-Ders Havuzu'!B36="","",'1-Ders Havuzu'!B36),"")</f>
        <v/>
      </c>
      <c r="E108" s="37" t="str">
        <f aca="false">IF($A108="Seçildi",IF('1-Ders Havuzu'!A36="","",'1-Ders Havuzu'!A36),"")</f>
        <v/>
      </c>
      <c r="F108" s="37" t="str">
        <f aca="false">IF($A108="Seçildi",IF('1-Ders Havuzu'!H36="","",'1-Ders Havuzu'!H36),"")</f>
        <v/>
      </c>
      <c r="G108" s="37" t="str">
        <f aca="false">IF($A108="Seçildi",IF('2-Ders-Öğr.Elemanı Eşleştirme'!H36="","",'2-Ders-Öğr.Elemanı Eşleştirme'!H36),"")</f>
        <v/>
      </c>
      <c r="H108" s="39" t="n">
        <v>3</v>
      </c>
      <c r="I108" s="36"/>
      <c r="J108" s="36"/>
      <c r="K108" s="36"/>
      <c r="L108" s="36"/>
      <c r="M108" s="37" t="str">
        <f aca="false">IF($J108="","",MATCH($J108,{"08.00";"09.00";"10.00";"11.00";"12.00";"13.00";"14.00";"15.00";"16.00";"17.00"},0))</f>
        <v/>
      </c>
      <c r="N108" s="37" t="str">
        <f aca="false">IF(OR($M108="",$K108=""),"",$M108+$K108-1)</f>
        <v/>
      </c>
      <c r="O108" s="37" t="str">
        <f aca="false">IF($A108&lt;&gt;"Seçildi","",IF(OR($M108="",$N108=""),"",IF($N108&gt;10,"⚠ Saat Taşıyor","")))</f>
        <v/>
      </c>
      <c r="P108" s="37" t="str">
        <f aca="false">IF($A108&lt;&gt;"Seçildi","",IF(OR($G108="",$I108="",$M108=""),"",IF(SUMPRODUCT(($A$7:$A$456="Seçildi")*($G$7:$G$456=$G108)*($I$7:$I$456=$I108)*(ROW($A$7:$A$456)&lt;&gt;108)*($M$7:$M$456&lt;=$N108)*($N$7:$N$456&gt;=$M108))&gt;0,"⚠ Çakışma","OK")))</f>
        <v/>
      </c>
      <c r="Q108" s="37" t="str">
        <f aca="false">IF($A108&lt;&gt;"Seçildi","",IF(OR($L108="",$I108="",$M108=""),"",IF(SUMPRODUCT(($A$7:$A$456="Seçildi")*($L$7:$L$456=$L108)*($I$7:$I$456=$I108)*(ROW($A$7:$A$456)&lt;&gt;108)*($M$7:$M$456&lt;=$N108)*($N$7:$N$456&gt;=$M108))&gt;0,"⚠ Çakışma","OK")))</f>
        <v/>
      </c>
      <c r="R108" s="37" t="str">
        <f aca="false">IF($A108&lt;&gt;"Seçildi","",IF(OR($D108="",$I108="",$M108=""),"",IF(SUMPRODUCT(($A$7:$A$456="Seçildi")*($D$7:$D$456=$D108)*($I$7:$I$456=$I108)*(ROW($A$7:$A$456)&lt;&gt;108)*($M$7:$M$456&lt;=$N108)*($N$7:$N$456&gt;=$M108))&gt;0,"⚠ Çakışma","OK")))</f>
        <v/>
      </c>
      <c r="S108" s="37"/>
      <c r="T108" s="37" t="str">
        <f aca="false">IF(OR($A108&lt;&gt;"Seçildi",AND($I108="",$J108="")),"",IF(OR($O108&lt;&gt;"",$P108="⚠ Çakışma",$Q108="⚠ Çakışma",$R108="⚠ Çakışma"),"⚠ Kontrol Et","✓ Uygun"))</f>
        <v/>
      </c>
    </row>
    <row r="109" customFormat="false" ht="13.5" hidden="false" customHeight="true" outlineLevel="0" collapsed="false">
      <c r="A109" s="33" t="str">
        <f aca="false">'1-Ders Havuzu'!K37</f>
        <v>Seçilmedi</v>
      </c>
      <c r="B109" s="33" t="str">
        <f aca="false">IF($A109="Seçildi",IF('1-Ders Havuzu'!C37="","",'1-Ders Havuzu'!C37),"")</f>
        <v/>
      </c>
      <c r="C109" s="34" t="str">
        <f aca="false">IF($A109="Seçildi",IF('1-Ders Havuzu'!D37="","",'1-Ders Havuzu'!D37),"")</f>
        <v/>
      </c>
      <c r="D109" s="33" t="str">
        <f aca="false">IF($A109="Seçildi",IF('1-Ders Havuzu'!B37="","",'1-Ders Havuzu'!B37),"")</f>
        <v/>
      </c>
      <c r="E109" s="33" t="str">
        <f aca="false">IF($A109="Seçildi",IF('1-Ders Havuzu'!A37="","",'1-Ders Havuzu'!A37),"")</f>
        <v/>
      </c>
      <c r="F109" s="33" t="str">
        <f aca="false">IF($A109="Seçildi",IF('1-Ders Havuzu'!H37="","",'1-Ders Havuzu'!H37),"")</f>
        <v/>
      </c>
      <c r="G109" s="33" t="str">
        <f aca="false">IF($A109="Seçildi",IF('2-Ders-Öğr.Elemanı Eşleştirme'!H37="","",'2-Ders-Öğr.Elemanı Eşleştirme'!H37),"")</f>
        <v/>
      </c>
      <c r="H109" s="35" t="n">
        <v>1</v>
      </c>
      <c r="I109" s="36"/>
      <c r="J109" s="36"/>
      <c r="K109" s="36"/>
      <c r="L109" s="36"/>
      <c r="M109" s="33" t="str">
        <f aca="false">IF($J109="","",MATCH($J109,{"08.00";"09.00";"10.00";"11.00";"12.00";"13.00";"14.00";"15.00";"16.00";"17.00"},0))</f>
        <v/>
      </c>
      <c r="N109" s="33" t="str">
        <f aca="false">IF(OR($M109="",$K109=""),"",$M109+$K109-1)</f>
        <v/>
      </c>
      <c r="O109" s="33" t="str">
        <f aca="false">IF($A109&lt;&gt;"Seçildi","",IF(OR($M109="",$N109=""),"",IF($N109&gt;10,"⚠ Saat Taşıyor","")))</f>
        <v/>
      </c>
      <c r="P109" s="33" t="str">
        <f aca="false">IF($A109&lt;&gt;"Seçildi","",IF(OR($G109="",$I109="",$M109=""),"",IF(SUMPRODUCT(($A$7:$A$456="Seçildi")*($G$7:$G$456=$G109)*($I$7:$I$456=$I109)*(ROW($A$7:$A$456)&lt;&gt;109)*($M$7:$M$456&lt;=$N109)*($N$7:$N$456&gt;=$M109))&gt;0,"⚠ Çakışma","OK")))</f>
        <v/>
      </c>
      <c r="Q109" s="33" t="str">
        <f aca="false">IF($A109&lt;&gt;"Seçildi","",IF(OR($L109="",$I109="",$M109=""),"",IF(SUMPRODUCT(($A$7:$A$456="Seçildi")*($L$7:$L$456=$L109)*($I$7:$I$456=$I109)*(ROW($A$7:$A$456)&lt;&gt;109)*($M$7:$M$456&lt;=$N109)*($N$7:$N$456&gt;=$M109))&gt;0,"⚠ Çakışma","OK")))</f>
        <v/>
      </c>
      <c r="R109" s="33" t="str">
        <f aca="false">IF($A109&lt;&gt;"Seçildi","",IF(OR($D109="",$I109="",$M109=""),"",IF(SUMPRODUCT(($A$7:$A$456="Seçildi")*($D$7:$D$456=$D109)*($I$7:$I$456=$I109)*(ROW($A$7:$A$456)&lt;&gt;109)*($M$7:$M$456&lt;=$N109)*($N$7:$N$456&gt;=$M109))&gt;0,"⚠ Çakışma","OK")))</f>
        <v/>
      </c>
      <c r="S109" s="33" t="str">
        <f aca="false">IF($A109&lt;&gt;"Seçildi","",IF(SUM($K109,$K110,$K111)&lt;&gt;$F109,"⚠ Dağılım: "&amp;SUM($K109:$K111)&amp;"/"&amp;$F109&amp;" saat","✓ Tamam"))</f>
        <v/>
      </c>
      <c r="T109" s="33" t="str">
        <f aca="false">IF($A109&lt;&gt;"Seçildi","",IF(OR($O109&lt;&gt;"",$P109="⚠ Çakışma",$Q109="⚠ Çakışma",$R109="⚠ Çakışma",LEFT($S109&amp;" ",1)="⚠"),"⚠ Kontrol Et","✓ Uygun"))</f>
        <v/>
      </c>
    </row>
    <row r="110" customFormat="false" ht="13.5" hidden="false" customHeight="true" outlineLevel="0" collapsed="false">
      <c r="A110" s="33" t="str">
        <f aca="false">'1-Ders Havuzu'!K37</f>
        <v>Seçilmedi</v>
      </c>
      <c r="B110" s="33" t="str">
        <f aca="false">IF($A110="Seçildi",IF('1-Ders Havuzu'!C37="","",'1-Ders Havuzu'!C37),"")</f>
        <v/>
      </c>
      <c r="C110" s="34" t="str">
        <f aca="false">IF($A110="Seçildi",IF('1-Ders Havuzu'!D37="","",'1-Ders Havuzu'!D37),"")</f>
        <v/>
      </c>
      <c r="D110" s="33" t="str">
        <f aca="false">IF($A110="Seçildi",IF('1-Ders Havuzu'!B37="","",'1-Ders Havuzu'!B37),"")</f>
        <v/>
      </c>
      <c r="E110" s="33" t="str">
        <f aca="false">IF($A110="Seçildi",IF('1-Ders Havuzu'!A37="","",'1-Ders Havuzu'!A37),"")</f>
        <v/>
      </c>
      <c r="F110" s="33" t="str">
        <f aca="false">IF($A110="Seçildi",IF('1-Ders Havuzu'!H37="","",'1-Ders Havuzu'!H37),"")</f>
        <v/>
      </c>
      <c r="G110" s="33" t="str">
        <f aca="false">IF($A110="Seçildi",IF('2-Ders-Öğr.Elemanı Eşleştirme'!H37="","",'2-Ders-Öğr.Elemanı Eşleştirme'!H37),"")</f>
        <v/>
      </c>
      <c r="H110" s="35" t="n">
        <v>2</v>
      </c>
      <c r="I110" s="36"/>
      <c r="J110" s="36"/>
      <c r="K110" s="36"/>
      <c r="L110" s="36"/>
      <c r="M110" s="33" t="str">
        <f aca="false">IF($J110="","",MATCH($J110,{"08.00";"09.00";"10.00";"11.00";"12.00";"13.00";"14.00";"15.00";"16.00";"17.00"},0))</f>
        <v/>
      </c>
      <c r="N110" s="33" t="str">
        <f aca="false">IF(OR($M110="",$K110=""),"",$M110+$K110-1)</f>
        <v/>
      </c>
      <c r="O110" s="33" t="str">
        <f aca="false">IF($A110&lt;&gt;"Seçildi","",IF(OR($M110="",$N110=""),"",IF($N110&gt;10,"⚠ Saat Taşıyor","")))</f>
        <v/>
      </c>
      <c r="P110" s="33" t="str">
        <f aca="false">IF($A110&lt;&gt;"Seçildi","",IF(OR($G110="",$I110="",$M110=""),"",IF(SUMPRODUCT(($A$7:$A$456="Seçildi")*($G$7:$G$456=$G110)*($I$7:$I$456=$I110)*(ROW($A$7:$A$456)&lt;&gt;110)*($M$7:$M$456&lt;=$N110)*($N$7:$N$456&gt;=$M110))&gt;0,"⚠ Çakışma","OK")))</f>
        <v/>
      </c>
      <c r="Q110" s="33" t="str">
        <f aca="false">IF($A110&lt;&gt;"Seçildi","",IF(OR($L110="",$I110="",$M110=""),"",IF(SUMPRODUCT(($A$7:$A$456="Seçildi")*($L$7:$L$456=$L110)*($I$7:$I$456=$I110)*(ROW($A$7:$A$456)&lt;&gt;110)*($M$7:$M$456&lt;=$N110)*($N$7:$N$456&gt;=$M110))&gt;0,"⚠ Çakışma","OK")))</f>
        <v/>
      </c>
      <c r="R110" s="33" t="str">
        <f aca="false">IF($A110&lt;&gt;"Seçildi","",IF(OR($D110="",$I110="",$M110=""),"",IF(SUMPRODUCT(($A$7:$A$456="Seçildi")*($D$7:$D$456=$D110)*($I$7:$I$456=$I110)*(ROW($A$7:$A$456)&lt;&gt;110)*($M$7:$M$456&lt;=$N110)*($N$7:$N$456&gt;=$M110))&gt;0,"⚠ Çakışma","OK")))</f>
        <v/>
      </c>
      <c r="S110" s="33"/>
      <c r="T110" s="33" t="str">
        <f aca="false">IF(OR($A110&lt;&gt;"Seçildi",AND($I110="",$J110="")),"",IF(OR($O110&lt;&gt;"",$P110="⚠ Çakışma",$Q110="⚠ Çakışma",$R110="⚠ Çakışma"),"⚠ Kontrol Et","✓ Uygun"))</f>
        <v/>
      </c>
    </row>
    <row r="111" customFormat="false" ht="13.5" hidden="false" customHeight="true" outlineLevel="0" collapsed="false">
      <c r="A111" s="33" t="str">
        <f aca="false">'1-Ders Havuzu'!K37</f>
        <v>Seçilmedi</v>
      </c>
      <c r="B111" s="33" t="str">
        <f aca="false">IF($A111="Seçildi",IF('1-Ders Havuzu'!C37="","",'1-Ders Havuzu'!C37),"")</f>
        <v/>
      </c>
      <c r="C111" s="34" t="str">
        <f aca="false">IF($A111="Seçildi",IF('1-Ders Havuzu'!D37="","",'1-Ders Havuzu'!D37),"")</f>
        <v/>
      </c>
      <c r="D111" s="33" t="str">
        <f aca="false">IF($A111="Seçildi",IF('1-Ders Havuzu'!B37="","",'1-Ders Havuzu'!B37),"")</f>
        <v/>
      </c>
      <c r="E111" s="33" t="str">
        <f aca="false">IF($A111="Seçildi",IF('1-Ders Havuzu'!A37="","",'1-Ders Havuzu'!A37),"")</f>
        <v/>
      </c>
      <c r="F111" s="33" t="str">
        <f aca="false">IF($A111="Seçildi",IF('1-Ders Havuzu'!H37="","",'1-Ders Havuzu'!H37),"")</f>
        <v/>
      </c>
      <c r="G111" s="33" t="str">
        <f aca="false">IF($A111="Seçildi",IF('2-Ders-Öğr.Elemanı Eşleştirme'!H37="","",'2-Ders-Öğr.Elemanı Eşleştirme'!H37),"")</f>
        <v/>
      </c>
      <c r="H111" s="35" t="n">
        <v>3</v>
      </c>
      <c r="I111" s="36"/>
      <c r="J111" s="36"/>
      <c r="K111" s="36"/>
      <c r="L111" s="36"/>
      <c r="M111" s="33" t="str">
        <f aca="false">IF($J111="","",MATCH($J111,{"08.00";"09.00";"10.00";"11.00";"12.00";"13.00";"14.00";"15.00";"16.00";"17.00"},0))</f>
        <v/>
      </c>
      <c r="N111" s="33" t="str">
        <f aca="false">IF(OR($M111="",$K111=""),"",$M111+$K111-1)</f>
        <v/>
      </c>
      <c r="O111" s="33" t="str">
        <f aca="false">IF($A111&lt;&gt;"Seçildi","",IF(OR($M111="",$N111=""),"",IF($N111&gt;10,"⚠ Saat Taşıyor","")))</f>
        <v/>
      </c>
      <c r="P111" s="33" t="str">
        <f aca="false">IF($A111&lt;&gt;"Seçildi","",IF(OR($G111="",$I111="",$M111=""),"",IF(SUMPRODUCT(($A$7:$A$456="Seçildi")*($G$7:$G$456=$G111)*($I$7:$I$456=$I111)*(ROW($A$7:$A$456)&lt;&gt;111)*($M$7:$M$456&lt;=$N111)*($N$7:$N$456&gt;=$M111))&gt;0,"⚠ Çakışma","OK")))</f>
        <v/>
      </c>
      <c r="Q111" s="33" t="str">
        <f aca="false">IF($A111&lt;&gt;"Seçildi","",IF(OR($L111="",$I111="",$M111=""),"",IF(SUMPRODUCT(($A$7:$A$456="Seçildi")*($L$7:$L$456=$L111)*($I$7:$I$456=$I111)*(ROW($A$7:$A$456)&lt;&gt;111)*($M$7:$M$456&lt;=$N111)*($N$7:$N$456&gt;=$M111))&gt;0,"⚠ Çakışma","OK")))</f>
        <v/>
      </c>
      <c r="R111" s="33" t="str">
        <f aca="false">IF($A111&lt;&gt;"Seçildi","",IF(OR($D111="",$I111="",$M111=""),"",IF(SUMPRODUCT(($A$7:$A$456="Seçildi")*($D$7:$D$456=$D111)*($I$7:$I$456=$I111)*(ROW($A$7:$A$456)&lt;&gt;111)*($M$7:$M$456&lt;=$N111)*($N$7:$N$456&gt;=$M111))&gt;0,"⚠ Çakışma","OK")))</f>
        <v/>
      </c>
      <c r="S111" s="33"/>
      <c r="T111" s="33" t="str">
        <f aca="false">IF(OR($A111&lt;&gt;"Seçildi",AND($I111="",$J111="")),"",IF(OR($O111&lt;&gt;"",$P111="⚠ Çakışma",$Q111="⚠ Çakışma",$R111="⚠ Çakışma"),"⚠ Kontrol Et","✓ Uygun"))</f>
        <v/>
      </c>
    </row>
    <row r="112" customFormat="false" ht="13.5" hidden="false" customHeight="true" outlineLevel="0" collapsed="false">
      <c r="A112" s="37" t="str">
        <f aca="false">'1-Ders Havuzu'!K38</f>
        <v>Seçilmedi</v>
      </c>
      <c r="B112" s="37" t="str">
        <f aca="false">IF($A112="Seçildi",IF('1-Ders Havuzu'!C38="","",'1-Ders Havuzu'!C38),"")</f>
        <v/>
      </c>
      <c r="C112" s="38" t="str">
        <f aca="false">IF($A112="Seçildi",IF('1-Ders Havuzu'!D38="","",'1-Ders Havuzu'!D38),"")</f>
        <v/>
      </c>
      <c r="D112" s="37" t="str">
        <f aca="false">IF($A112="Seçildi",IF('1-Ders Havuzu'!B38="","",'1-Ders Havuzu'!B38),"")</f>
        <v/>
      </c>
      <c r="E112" s="37" t="str">
        <f aca="false">IF($A112="Seçildi",IF('1-Ders Havuzu'!A38="","",'1-Ders Havuzu'!A38),"")</f>
        <v/>
      </c>
      <c r="F112" s="37" t="str">
        <f aca="false">IF($A112="Seçildi",IF('1-Ders Havuzu'!H38="","",'1-Ders Havuzu'!H38),"")</f>
        <v/>
      </c>
      <c r="G112" s="37" t="str">
        <f aca="false">IF($A112="Seçildi",IF('2-Ders-Öğr.Elemanı Eşleştirme'!H38="","",'2-Ders-Öğr.Elemanı Eşleştirme'!H38),"")</f>
        <v/>
      </c>
      <c r="H112" s="39" t="n">
        <v>1</v>
      </c>
      <c r="I112" s="36"/>
      <c r="J112" s="36"/>
      <c r="K112" s="36"/>
      <c r="L112" s="36"/>
      <c r="M112" s="37" t="str">
        <f aca="false">IF($J112="","",MATCH($J112,{"08.00";"09.00";"10.00";"11.00";"12.00";"13.00";"14.00";"15.00";"16.00";"17.00"},0))</f>
        <v/>
      </c>
      <c r="N112" s="37" t="str">
        <f aca="false">IF(OR($M112="",$K112=""),"",$M112+$K112-1)</f>
        <v/>
      </c>
      <c r="O112" s="37" t="str">
        <f aca="false">IF($A112&lt;&gt;"Seçildi","",IF(OR($M112="",$N112=""),"",IF($N112&gt;10,"⚠ Saat Taşıyor","")))</f>
        <v/>
      </c>
      <c r="P112" s="37" t="str">
        <f aca="false">IF($A112&lt;&gt;"Seçildi","",IF(OR($G112="",$I112="",$M112=""),"",IF(SUMPRODUCT(($A$7:$A$456="Seçildi")*($G$7:$G$456=$G112)*($I$7:$I$456=$I112)*(ROW($A$7:$A$456)&lt;&gt;112)*($M$7:$M$456&lt;=$N112)*($N$7:$N$456&gt;=$M112))&gt;0,"⚠ Çakışma","OK")))</f>
        <v/>
      </c>
      <c r="Q112" s="37" t="str">
        <f aca="false">IF($A112&lt;&gt;"Seçildi","",IF(OR($L112="",$I112="",$M112=""),"",IF(SUMPRODUCT(($A$7:$A$456="Seçildi")*($L$7:$L$456=$L112)*($I$7:$I$456=$I112)*(ROW($A$7:$A$456)&lt;&gt;112)*($M$7:$M$456&lt;=$N112)*($N$7:$N$456&gt;=$M112))&gt;0,"⚠ Çakışma","OK")))</f>
        <v/>
      </c>
      <c r="R112" s="37" t="str">
        <f aca="false">IF($A112&lt;&gt;"Seçildi","",IF(OR($D112="",$I112="",$M112=""),"",IF(SUMPRODUCT(($A$7:$A$456="Seçildi")*($D$7:$D$456=$D112)*($I$7:$I$456=$I112)*(ROW($A$7:$A$456)&lt;&gt;112)*($M$7:$M$456&lt;=$N112)*($N$7:$N$456&gt;=$M112))&gt;0,"⚠ Çakışma","OK")))</f>
        <v/>
      </c>
      <c r="S112" s="37" t="str">
        <f aca="false">IF($A112&lt;&gt;"Seçildi","",IF(SUM($K112,$K113,$K114)&lt;&gt;$F112,"⚠ Dağılım: "&amp;SUM($K112:$K114)&amp;"/"&amp;$F112&amp;" saat","✓ Tamam"))</f>
        <v/>
      </c>
      <c r="T112" s="37" t="str">
        <f aca="false">IF($A112&lt;&gt;"Seçildi","",IF(OR($O112&lt;&gt;"",$P112="⚠ Çakışma",$Q112="⚠ Çakışma",$R112="⚠ Çakışma",LEFT($S112&amp;" ",1)="⚠"),"⚠ Kontrol Et","✓ Uygun"))</f>
        <v/>
      </c>
    </row>
    <row r="113" customFormat="false" ht="13.5" hidden="false" customHeight="true" outlineLevel="0" collapsed="false">
      <c r="A113" s="37" t="str">
        <f aca="false">'1-Ders Havuzu'!K38</f>
        <v>Seçilmedi</v>
      </c>
      <c r="B113" s="37" t="str">
        <f aca="false">IF($A113="Seçildi",IF('1-Ders Havuzu'!C38="","",'1-Ders Havuzu'!C38),"")</f>
        <v/>
      </c>
      <c r="C113" s="38" t="str">
        <f aca="false">IF($A113="Seçildi",IF('1-Ders Havuzu'!D38="","",'1-Ders Havuzu'!D38),"")</f>
        <v/>
      </c>
      <c r="D113" s="37" t="str">
        <f aca="false">IF($A113="Seçildi",IF('1-Ders Havuzu'!B38="","",'1-Ders Havuzu'!B38),"")</f>
        <v/>
      </c>
      <c r="E113" s="37" t="str">
        <f aca="false">IF($A113="Seçildi",IF('1-Ders Havuzu'!A38="","",'1-Ders Havuzu'!A38),"")</f>
        <v/>
      </c>
      <c r="F113" s="37" t="str">
        <f aca="false">IF($A113="Seçildi",IF('1-Ders Havuzu'!H38="","",'1-Ders Havuzu'!H38),"")</f>
        <v/>
      </c>
      <c r="G113" s="37" t="str">
        <f aca="false">IF($A113="Seçildi",IF('2-Ders-Öğr.Elemanı Eşleştirme'!H38="","",'2-Ders-Öğr.Elemanı Eşleştirme'!H38),"")</f>
        <v/>
      </c>
      <c r="H113" s="39" t="n">
        <v>2</v>
      </c>
      <c r="I113" s="36"/>
      <c r="J113" s="36"/>
      <c r="K113" s="36"/>
      <c r="L113" s="36"/>
      <c r="M113" s="37" t="str">
        <f aca="false">IF($J113="","",MATCH($J113,{"08.00";"09.00";"10.00";"11.00";"12.00";"13.00";"14.00";"15.00";"16.00";"17.00"},0))</f>
        <v/>
      </c>
      <c r="N113" s="37" t="str">
        <f aca="false">IF(OR($M113="",$K113=""),"",$M113+$K113-1)</f>
        <v/>
      </c>
      <c r="O113" s="37" t="str">
        <f aca="false">IF($A113&lt;&gt;"Seçildi","",IF(OR($M113="",$N113=""),"",IF($N113&gt;10,"⚠ Saat Taşıyor","")))</f>
        <v/>
      </c>
      <c r="P113" s="37" t="str">
        <f aca="false">IF($A113&lt;&gt;"Seçildi","",IF(OR($G113="",$I113="",$M113=""),"",IF(SUMPRODUCT(($A$7:$A$456="Seçildi")*($G$7:$G$456=$G113)*($I$7:$I$456=$I113)*(ROW($A$7:$A$456)&lt;&gt;113)*($M$7:$M$456&lt;=$N113)*($N$7:$N$456&gt;=$M113))&gt;0,"⚠ Çakışma","OK")))</f>
        <v/>
      </c>
      <c r="Q113" s="37" t="str">
        <f aca="false">IF($A113&lt;&gt;"Seçildi","",IF(OR($L113="",$I113="",$M113=""),"",IF(SUMPRODUCT(($A$7:$A$456="Seçildi")*($L$7:$L$456=$L113)*($I$7:$I$456=$I113)*(ROW($A$7:$A$456)&lt;&gt;113)*($M$7:$M$456&lt;=$N113)*($N$7:$N$456&gt;=$M113))&gt;0,"⚠ Çakışma","OK")))</f>
        <v/>
      </c>
      <c r="R113" s="37" t="str">
        <f aca="false">IF($A113&lt;&gt;"Seçildi","",IF(OR($D113="",$I113="",$M113=""),"",IF(SUMPRODUCT(($A$7:$A$456="Seçildi")*($D$7:$D$456=$D113)*($I$7:$I$456=$I113)*(ROW($A$7:$A$456)&lt;&gt;113)*($M$7:$M$456&lt;=$N113)*($N$7:$N$456&gt;=$M113))&gt;0,"⚠ Çakışma","OK")))</f>
        <v/>
      </c>
      <c r="S113" s="37"/>
      <c r="T113" s="37" t="str">
        <f aca="false">IF(OR($A113&lt;&gt;"Seçildi",AND($I113="",$J113="")),"",IF(OR($O113&lt;&gt;"",$P113="⚠ Çakışma",$Q113="⚠ Çakışma",$R113="⚠ Çakışma"),"⚠ Kontrol Et","✓ Uygun"))</f>
        <v/>
      </c>
    </row>
    <row r="114" customFormat="false" ht="13.5" hidden="false" customHeight="true" outlineLevel="0" collapsed="false">
      <c r="A114" s="37" t="str">
        <f aca="false">'1-Ders Havuzu'!K38</f>
        <v>Seçilmedi</v>
      </c>
      <c r="B114" s="37" t="str">
        <f aca="false">IF($A114="Seçildi",IF('1-Ders Havuzu'!C38="","",'1-Ders Havuzu'!C38),"")</f>
        <v/>
      </c>
      <c r="C114" s="38" t="str">
        <f aca="false">IF($A114="Seçildi",IF('1-Ders Havuzu'!D38="","",'1-Ders Havuzu'!D38),"")</f>
        <v/>
      </c>
      <c r="D114" s="37" t="str">
        <f aca="false">IF($A114="Seçildi",IF('1-Ders Havuzu'!B38="","",'1-Ders Havuzu'!B38),"")</f>
        <v/>
      </c>
      <c r="E114" s="37" t="str">
        <f aca="false">IF($A114="Seçildi",IF('1-Ders Havuzu'!A38="","",'1-Ders Havuzu'!A38),"")</f>
        <v/>
      </c>
      <c r="F114" s="37" t="str">
        <f aca="false">IF($A114="Seçildi",IF('1-Ders Havuzu'!H38="","",'1-Ders Havuzu'!H38),"")</f>
        <v/>
      </c>
      <c r="G114" s="37" t="str">
        <f aca="false">IF($A114="Seçildi",IF('2-Ders-Öğr.Elemanı Eşleştirme'!H38="","",'2-Ders-Öğr.Elemanı Eşleştirme'!H38),"")</f>
        <v/>
      </c>
      <c r="H114" s="39" t="n">
        <v>3</v>
      </c>
      <c r="I114" s="36"/>
      <c r="J114" s="36"/>
      <c r="K114" s="36"/>
      <c r="L114" s="36"/>
      <c r="M114" s="37" t="str">
        <f aca="false">IF($J114="","",MATCH($J114,{"08.00";"09.00";"10.00";"11.00";"12.00";"13.00";"14.00";"15.00";"16.00";"17.00"},0))</f>
        <v/>
      </c>
      <c r="N114" s="37" t="str">
        <f aca="false">IF(OR($M114="",$K114=""),"",$M114+$K114-1)</f>
        <v/>
      </c>
      <c r="O114" s="37" t="str">
        <f aca="false">IF($A114&lt;&gt;"Seçildi","",IF(OR($M114="",$N114=""),"",IF($N114&gt;10,"⚠ Saat Taşıyor","")))</f>
        <v/>
      </c>
      <c r="P114" s="37" t="str">
        <f aca="false">IF($A114&lt;&gt;"Seçildi","",IF(OR($G114="",$I114="",$M114=""),"",IF(SUMPRODUCT(($A$7:$A$456="Seçildi")*($G$7:$G$456=$G114)*($I$7:$I$456=$I114)*(ROW($A$7:$A$456)&lt;&gt;114)*($M$7:$M$456&lt;=$N114)*($N$7:$N$456&gt;=$M114))&gt;0,"⚠ Çakışma","OK")))</f>
        <v/>
      </c>
      <c r="Q114" s="37" t="str">
        <f aca="false">IF($A114&lt;&gt;"Seçildi","",IF(OR($L114="",$I114="",$M114=""),"",IF(SUMPRODUCT(($A$7:$A$456="Seçildi")*($L$7:$L$456=$L114)*($I$7:$I$456=$I114)*(ROW($A$7:$A$456)&lt;&gt;114)*($M$7:$M$456&lt;=$N114)*($N$7:$N$456&gt;=$M114))&gt;0,"⚠ Çakışma","OK")))</f>
        <v/>
      </c>
      <c r="R114" s="37" t="str">
        <f aca="false">IF($A114&lt;&gt;"Seçildi","",IF(OR($D114="",$I114="",$M114=""),"",IF(SUMPRODUCT(($A$7:$A$456="Seçildi")*($D$7:$D$456=$D114)*($I$7:$I$456=$I114)*(ROW($A$7:$A$456)&lt;&gt;114)*($M$7:$M$456&lt;=$N114)*($N$7:$N$456&gt;=$M114))&gt;0,"⚠ Çakışma","OK")))</f>
        <v/>
      </c>
      <c r="S114" s="37"/>
      <c r="T114" s="37" t="str">
        <f aca="false">IF(OR($A114&lt;&gt;"Seçildi",AND($I114="",$J114="")),"",IF(OR($O114&lt;&gt;"",$P114="⚠ Çakışma",$Q114="⚠ Çakışma",$R114="⚠ Çakışma"),"⚠ Kontrol Et","✓ Uygun"))</f>
        <v/>
      </c>
    </row>
    <row r="115" customFormat="false" ht="13.5" hidden="false" customHeight="true" outlineLevel="0" collapsed="false">
      <c r="A115" s="33" t="str">
        <f aca="false">'1-Ders Havuzu'!K39</f>
        <v>Seçilmedi</v>
      </c>
      <c r="B115" s="33" t="str">
        <f aca="false">IF($A115="Seçildi",IF('1-Ders Havuzu'!C39="","",'1-Ders Havuzu'!C39),"")</f>
        <v/>
      </c>
      <c r="C115" s="34" t="str">
        <f aca="false">IF($A115="Seçildi",IF('1-Ders Havuzu'!D39="","",'1-Ders Havuzu'!D39),"")</f>
        <v/>
      </c>
      <c r="D115" s="33" t="str">
        <f aca="false">IF($A115="Seçildi",IF('1-Ders Havuzu'!B39="","",'1-Ders Havuzu'!B39),"")</f>
        <v/>
      </c>
      <c r="E115" s="33" t="str">
        <f aca="false">IF($A115="Seçildi",IF('1-Ders Havuzu'!A39="","",'1-Ders Havuzu'!A39),"")</f>
        <v/>
      </c>
      <c r="F115" s="33" t="str">
        <f aca="false">IF($A115="Seçildi",IF('1-Ders Havuzu'!H39="","",'1-Ders Havuzu'!H39),"")</f>
        <v/>
      </c>
      <c r="G115" s="33" t="str">
        <f aca="false">IF($A115="Seçildi",IF('2-Ders-Öğr.Elemanı Eşleştirme'!H39="","",'2-Ders-Öğr.Elemanı Eşleştirme'!H39),"")</f>
        <v/>
      </c>
      <c r="H115" s="35" t="n">
        <v>1</v>
      </c>
      <c r="I115" s="36"/>
      <c r="J115" s="36"/>
      <c r="K115" s="36"/>
      <c r="L115" s="36"/>
      <c r="M115" s="33" t="str">
        <f aca="false">IF($J115="","",MATCH($J115,{"08.00";"09.00";"10.00";"11.00";"12.00";"13.00";"14.00";"15.00";"16.00";"17.00"},0))</f>
        <v/>
      </c>
      <c r="N115" s="33" t="str">
        <f aca="false">IF(OR($M115="",$K115=""),"",$M115+$K115-1)</f>
        <v/>
      </c>
      <c r="O115" s="33" t="str">
        <f aca="false">IF($A115&lt;&gt;"Seçildi","",IF(OR($M115="",$N115=""),"",IF($N115&gt;10,"⚠ Saat Taşıyor","")))</f>
        <v/>
      </c>
      <c r="P115" s="33" t="str">
        <f aca="false">IF($A115&lt;&gt;"Seçildi","",IF(OR($G115="",$I115="",$M115=""),"",IF(SUMPRODUCT(($A$7:$A$456="Seçildi")*($G$7:$G$456=$G115)*($I$7:$I$456=$I115)*(ROW($A$7:$A$456)&lt;&gt;115)*($M$7:$M$456&lt;=$N115)*($N$7:$N$456&gt;=$M115))&gt;0,"⚠ Çakışma","OK")))</f>
        <v/>
      </c>
      <c r="Q115" s="33" t="str">
        <f aca="false">IF($A115&lt;&gt;"Seçildi","",IF(OR($L115="",$I115="",$M115=""),"",IF(SUMPRODUCT(($A$7:$A$456="Seçildi")*($L$7:$L$456=$L115)*($I$7:$I$456=$I115)*(ROW($A$7:$A$456)&lt;&gt;115)*($M$7:$M$456&lt;=$N115)*($N$7:$N$456&gt;=$M115))&gt;0,"⚠ Çakışma","OK")))</f>
        <v/>
      </c>
      <c r="R115" s="33" t="str">
        <f aca="false">IF($A115&lt;&gt;"Seçildi","",IF(OR($D115="",$I115="",$M115=""),"",IF(SUMPRODUCT(($A$7:$A$456="Seçildi")*($D$7:$D$456=$D115)*($I$7:$I$456=$I115)*(ROW($A$7:$A$456)&lt;&gt;115)*($M$7:$M$456&lt;=$N115)*($N$7:$N$456&gt;=$M115))&gt;0,"⚠ Çakışma","OK")))</f>
        <v/>
      </c>
      <c r="S115" s="33" t="str">
        <f aca="false">IF($A115&lt;&gt;"Seçildi","",IF(SUM($K115,$K116,$K117)&lt;&gt;$F115,"⚠ Dağılım: "&amp;SUM($K115:$K117)&amp;"/"&amp;$F115&amp;" saat","✓ Tamam"))</f>
        <v/>
      </c>
      <c r="T115" s="33" t="str">
        <f aca="false">IF($A115&lt;&gt;"Seçildi","",IF(OR($O115&lt;&gt;"",$P115="⚠ Çakışma",$Q115="⚠ Çakışma",$R115="⚠ Çakışma",LEFT($S115&amp;" ",1)="⚠"),"⚠ Kontrol Et","✓ Uygun"))</f>
        <v/>
      </c>
    </row>
    <row r="116" customFormat="false" ht="13.5" hidden="false" customHeight="true" outlineLevel="0" collapsed="false">
      <c r="A116" s="33" t="str">
        <f aca="false">'1-Ders Havuzu'!K39</f>
        <v>Seçilmedi</v>
      </c>
      <c r="B116" s="33" t="str">
        <f aca="false">IF($A116="Seçildi",IF('1-Ders Havuzu'!C39="","",'1-Ders Havuzu'!C39),"")</f>
        <v/>
      </c>
      <c r="C116" s="34" t="str">
        <f aca="false">IF($A116="Seçildi",IF('1-Ders Havuzu'!D39="","",'1-Ders Havuzu'!D39),"")</f>
        <v/>
      </c>
      <c r="D116" s="33" t="str">
        <f aca="false">IF($A116="Seçildi",IF('1-Ders Havuzu'!B39="","",'1-Ders Havuzu'!B39),"")</f>
        <v/>
      </c>
      <c r="E116" s="33" t="str">
        <f aca="false">IF($A116="Seçildi",IF('1-Ders Havuzu'!A39="","",'1-Ders Havuzu'!A39),"")</f>
        <v/>
      </c>
      <c r="F116" s="33" t="str">
        <f aca="false">IF($A116="Seçildi",IF('1-Ders Havuzu'!H39="","",'1-Ders Havuzu'!H39),"")</f>
        <v/>
      </c>
      <c r="G116" s="33" t="str">
        <f aca="false">IF($A116="Seçildi",IF('2-Ders-Öğr.Elemanı Eşleştirme'!H39="","",'2-Ders-Öğr.Elemanı Eşleştirme'!H39),"")</f>
        <v/>
      </c>
      <c r="H116" s="35" t="n">
        <v>2</v>
      </c>
      <c r="I116" s="36"/>
      <c r="J116" s="36"/>
      <c r="K116" s="36"/>
      <c r="L116" s="36"/>
      <c r="M116" s="33" t="str">
        <f aca="false">IF($J116="","",MATCH($J116,{"08.00";"09.00";"10.00";"11.00";"12.00";"13.00";"14.00";"15.00";"16.00";"17.00"},0))</f>
        <v/>
      </c>
      <c r="N116" s="33" t="str">
        <f aca="false">IF(OR($M116="",$K116=""),"",$M116+$K116-1)</f>
        <v/>
      </c>
      <c r="O116" s="33" t="str">
        <f aca="false">IF($A116&lt;&gt;"Seçildi","",IF(OR($M116="",$N116=""),"",IF($N116&gt;10,"⚠ Saat Taşıyor","")))</f>
        <v/>
      </c>
      <c r="P116" s="33" t="str">
        <f aca="false">IF($A116&lt;&gt;"Seçildi","",IF(OR($G116="",$I116="",$M116=""),"",IF(SUMPRODUCT(($A$7:$A$456="Seçildi")*($G$7:$G$456=$G116)*($I$7:$I$456=$I116)*(ROW($A$7:$A$456)&lt;&gt;116)*($M$7:$M$456&lt;=$N116)*($N$7:$N$456&gt;=$M116))&gt;0,"⚠ Çakışma","OK")))</f>
        <v/>
      </c>
      <c r="Q116" s="33" t="str">
        <f aca="false">IF($A116&lt;&gt;"Seçildi","",IF(OR($L116="",$I116="",$M116=""),"",IF(SUMPRODUCT(($A$7:$A$456="Seçildi")*($L$7:$L$456=$L116)*($I$7:$I$456=$I116)*(ROW($A$7:$A$456)&lt;&gt;116)*($M$7:$M$456&lt;=$N116)*($N$7:$N$456&gt;=$M116))&gt;0,"⚠ Çakışma","OK")))</f>
        <v/>
      </c>
      <c r="R116" s="33" t="str">
        <f aca="false">IF($A116&lt;&gt;"Seçildi","",IF(OR($D116="",$I116="",$M116=""),"",IF(SUMPRODUCT(($A$7:$A$456="Seçildi")*($D$7:$D$456=$D116)*($I$7:$I$456=$I116)*(ROW($A$7:$A$456)&lt;&gt;116)*($M$7:$M$456&lt;=$N116)*($N$7:$N$456&gt;=$M116))&gt;0,"⚠ Çakışma","OK")))</f>
        <v/>
      </c>
      <c r="S116" s="33"/>
      <c r="T116" s="33" t="str">
        <f aca="false">IF(OR($A116&lt;&gt;"Seçildi",AND($I116="",$J116="")),"",IF(OR($O116&lt;&gt;"",$P116="⚠ Çakışma",$Q116="⚠ Çakışma",$R116="⚠ Çakışma"),"⚠ Kontrol Et","✓ Uygun"))</f>
        <v/>
      </c>
    </row>
    <row r="117" customFormat="false" ht="13.5" hidden="false" customHeight="true" outlineLevel="0" collapsed="false">
      <c r="A117" s="33" t="str">
        <f aca="false">'1-Ders Havuzu'!K39</f>
        <v>Seçilmedi</v>
      </c>
      <c r="B117" s="33" t="str">
        <f aca="false">IF($A117="Seçildi",IF('1-Ders Havuzu'!C39="","",'1-Ders Havuzu'!C39),"")</f>
        <v/>
      </c>
      <c r="C117" s="34" t="str">
        <f aca="false">IF($A117="Seçildi",IF('1-Ders Havuzu'!D39="","",'1-Ders Havuzu'!D39),"")</f>
        <v/>
      </c>
      <c r="D117" s="33" t="str">
        <f aca="false">IF($A117="Seçildi",IF('1-Ders Havuzu'!B39="","",'1-Ders Havuzu'!B39),"")</f>
        <v/>
      </c>
      <c r="E117" s="33" t="str">
        <f aca="false">IF($A117="Seçildi",IF('1-Ders Havuzu'!A39="","",'1-Ders Havuzu'!A39),"")</f>
        <v/>
      </c>
      <c r="F117" s="33" t="str">
        <f aca="false">IF($A117="Seçildi",IF('1-Ders Havuzu'!H39="","",'1-Ders Havuzu'!H39),"")</f>
        <v/>
      </c>
      <c r="G117" s="33" t="str">
        <f aca="false">IF($A117="Seçildi",IF('2-Ders-Öğr.Elemanı Eşleştirme'!H39="","",'2-Ders-Öğr.Elemanı Eşleştirme'!H39),"")</f>
        <v/>
      </c>
      <c r="H117" s="35" t="n">
        <v>3</v>
      </c>
      <c r="I117" s="36"/>
      <c r="J117" s="36"/>
      <c r="K117" s="36"/>
      <c r="L117" s="36"/>
      <c r="M117" s="33" t="str">
        <f aca="false">IF($J117="","",MATCH($J117,{"08.00";"09.00";"10.00";"11.00";"12.00";"13.00";"14.00";"15.00";"16.00";"17.00"},0))</f>
        <v/>
      </c>
      <c r="N117" s="33" t="str">
        <f aca="false">IF(OR($M117="",$K117=""),"",$M117+$K117-1)</f>
        <v/>
      </c>
      <c r="O117" s="33" t="str">
        <f aca="false">IF($A117&lt;&gt;"Seçildi","",IF(OR($M117="",$N117=""),"",IF($N117&gt;10,"⚠ Saat Taşıyor","")))</f>
        <v/>
      </c>
      <c r="P117" s="33" t="str">
        <f aca="false">IF($A117&lt;&gt;"Seçildi","",IF(OR($G117="",$I117="",$M117=""),"",IF(SUMPRODUCT(($A$7:$A$456="Seçildi")*($G$7:$G$456=$G117)*($I$7:$I$456=$I117)*(ROW($A$7:$A$456)&lt;&gt;117)*($M$7:$M$456&lt;=$N117)*($N$7:$N$456&gt;=$M117))&gt;0,"⚠ Çakışma","OK")))</f>
        <v/>
      </c>
      <c r="Q117" s="33" t="str">
        <f aca="false">IF($A117&lt;&gt;"Seçildi","",IF(OR($L117="",$I117="",$M117=""),"",IF(SUMPRODUCT(($A$7:$A$456="Seçildi")*($L$7:$L$456=$L117)*($I$7:$I$456=$I117)*(ROW($A$7:$A$456)&lt;&gt;117)*($M$7:$M$456&lt;=$N117)*($N$7:$N$456&gt;=$M117))&gt;0,"⚠ Çakışma","OK")))</f>
        <v/>
      </c>
      <c r="R117" s="33" t="str">
        <f aca="false">IF($A117&lt;&gt;"Seçildi","",IF(OR($D117="",$I117="",$M117=""),"",IF(SUMPRODUCT(($A$7:$A$456="Seçildi")*($D$7:$D$456=$D117)*($I$7:$I$456=$I117)*(ROW($A$7:$A$456)&lt;&gt;117)*($M$7:$M$456&lt;=$N117)*($N$7:$N$456&gt;=$M117))&gt;0,"⚠ Çakışma","OK")))</f>
        <v/>
      </c>
      <c r="S117" s="33"/>
      <c r="T117" s="33" t="str">
        <f aca="false">IF(OR($A117&lt;&gt;"Seçildi",AND($I117="",$J117="")),"",IF(OR($O117&lt;&gt;"",$P117="⚠ Çakışma",$Q117="⚠ Çakışma",$R117="⚠ Çakışma"),"⚠ Kontrol Et","✓ Uygun"))</f>
        <v/>
      </c>
    </row>
    <row r="118" customFormat="false" ht="13.5" hidden="false" customHeight="true" outlineLevel="0" collapsed="false">
      <c r="A118" s="37" t="str">
        <f aca="false">'1-Ders Havuzu'!K40</f>
        <v>Seçilmedi</v>
      </c>
      <c r="B118" s="37" t="str">
        <f aca="false">IF($A118="Seçildi",IF('1-Ders Havuzu'!C40="","",'1-Ders Havuzu'!C40),"")</f>
        <v/>
      </c>
      <c r="C118" s="38" t="str">
        <f aca="false">IF($A118="Seçildi",IF('1-Ders Havuzu'!D40="","",'1-Ders Havuzu'!D40),"")</f>
        <v/>
      </c>
      <c r="D118" s="37" t="str">
        <f aca="false">IF($A118="Seçildi",IF('1-Ders Havuzu'!B40="","",'1-Ders Havuzu'!B40),"")</f>
        <v/>
      </c>
      <c r="E118" s="37" t="str">
        <f aca="false">IF($A118="Seçildi",IF('1-Ders Havuzu'!A40="","",'1-Ders Havuzu'!A40),"")</f>
        <v/>
      </c>
      <c r="F118" s="37" t="str">
        <f aca="false">IF($A118="Seçildi",IF('1-Ders Havuzu'!H40="","",'1-Ders Havuzu'!H40),"")</f>
        <v/>
      </c>
      <c r="G118" s="37" t="str">
        <f aca="false">IF($A118="Seçildi",IF('2-Ders-Öğr.Elemanı Eşleştirme'!H40="","",'2-Ders-Öğr.Elemanı Eşleştirme'!H40),"")</f>
        <v/>
      </c>
      <c r="H118" s="39" t="n">
        <v>1</v>
      </c>
      <c r="I118" s="36"/>
      <c r="J118" s="36"/>
      <c r="K118" s="36"/>
      <c r="L118" s="36"/>
      <c r="M118" s="37" t="str">
        <f aca="false">IF($J118="","",MATCH($J118,{"08.00";"09.00";"10.00";"11.00";"12.00";"13.00";"14.00";"15.00";"16.00";"17.00"},0))</f>
        <v/>
      </c>
      <c r="N118" s="37" t="str">
        <f aca="false">IF(OR($M118="",$K118=""),"",$M118+$K118-1)</f>
        <v/>
      </c>
      <c r="O118" s="37" t="str">
        <f aca="false">IF($A118&lt;&gt;"Seçildi","",IF(OR($M118="",$N118=""),"",IF($N118&gt;10,"⚠ Saat Taşıyor","")))</f>
        <v/>
      </c>
      <c r="P118" s="37" t="str">
        <f aca="false">IF($A118&lt;&gt;"Seçildi","",IF(OR($G118="",$I118="",$M118=""),"",IF(SUMPRODUCT(($A$7:$A$456="Seçildi")*($G$7:$G$456=$G118)*($I$7:$I$456=$I118)*(ROW($A$7:$A$456)&lt;&gt;118)*($M$7:$M$456&lt;=$N118)*($N$7:$N$456&gt;=$M118))&gt;0,"⚠ Çakışma","OK")))</f>
        <v/>
      </c>
      <c r="Q118" s="37" t="str">
        <f aca="false">IF($A118&lt;&gt;"Seçildi","",IF(OR($L118="",$I118="",$M118=""),"",IF(SUMPRODUCT(($A$7:$A$456="Seçildi")*($L$7:$L$456=$L118)*($I$7:$I$456=$I118)*(ROW($A$7:$A$456)&lt;&gt;118)*($M$7:$M$456&lt;=$N118)*($N$7:$N$456&gt;=$M118))&gt;0,"⚠ Çakışma","OK")))</f>
        <v/>
      </c>
      <c r="R118" s="37" t="str">
        <f aca="false">IF($A118&lt;&gt;"Seçildi","",IF(OR($D118="",$I118="",$M118=""),"",IF(SUMPRODUCT(($A$7:$A$456="Seçildi")*($D$7:$D$456=$D118)*($I$7:$I$456=$I118)*(ROW($A$7:$A$456)&lt;&gt;118)*($M$7:$M$456&lt;=$N118)*($N$7:$N$456&gt;=$M118))&gt;0,"⚠ Çakışma","OK")))</f>
        <v/>
      </c>
      <c r="S118" s="37" t="str">
        <f aca="false">IF($A118&lt;&gt;"Seçildi","",IF(SUM($K118,$K119,$K120)&lt;&gt;$F118,"⚠ Dağılım: "&amp;SUM($K118:$K120)&amp;"/"&amp;$F118&amp;" saat","✓ Tamam"))</f>
        <v/>
      </c>
      <c r="T118" s="37" t="str">
        <f aca="false">IF($A118&lt;&gt;"Seçildi","",IF(OR($O118&lt;&gt;"",$P118="⚠ Çakışma",$Q118="⚠ Çakışma",$R118="⚠ Çakışma",LEFT($S118&amp;" ",1)="⚠"),"⚠ Kontrol Et","✓ Uygun"))</f>
        <v/>
      </c>
    </row>
    <row r="119" customFormat="false" ht="13.5" hidden="false" customHeight="true" outlineLevel="0" collapsed="false">
      <c r="A119" s="37" t="str">
        <f aca="false">'1-Ders Havuzu'!K40</f>
        <v>Seçilmedi</v>
      </c>
      <c r="B119" s="37" t="str">
        <f aca="false">IF($A119="Seçildi",IF('1-Ders Havuzu'!C40="","",'1-Ders Havuzu'!C40),"")</f>
        <v/>
      </c>
      <c r="C119" s="38" t="str">
        <f aca="false">IF($A119="Seçildi",IF('1-Ders Havuzu'!D40="","",'1-Ders Havuzu'!D40),"")</f>
        <v/>
      </c>
      <c r="D119" s="37" t="str">
        <f aca="false">IF($A119="Seçildi",IF('1-Ders Havuzu'!B40="","",'1-Ders Havuzu'!B40),"")</f>
        <v/>
      </c>
      <c r="E119" s="37" t="str">
        <f aca="false">IF($A119="Seçildi",IF('1-Ders Havuzu'!A40="","",'1-Ders Havuzu'!A40),"")</f>
        <v/>
      </c>
      <c r="F119" s="37" t="str">
        <f aca="false">IF($A119="Seçildi",IF('1-Ders Havuzu'!H40="","",'1-Ders Havuzu'!H40),"")</f>
        <v/>
      </c>
      <c r="G119" s="37" t="str">
        <f aca="false">IF($A119="Seçildi",IF('2-Ders-Öğr.Elemanı Eşleştirme'!H40="","",'2-Ders-Öğr.Elemanı Eşleştirme'!H40),"")</f>
        <v/>
      </c>
      <c r="H119" s="39" t="n">
        <v>2</v>
      </c>
      <c r="I119" s="36"/>
      <c r="J119" s="36"/>
      <c r="K119" s="36"/>
      <c r="L119" s="36"/>
      <c r="M119" s="37" t="str">
        <f aca="false">IF($J119="","",MATCH($J119,{"08.00";"09.00";"10.00";"11.00";"12.00";"13.00";"14.00";"15.00";"16.00";"17.00"},0))</f>
        <v/>
      </c>
      <c r="N119" s="37" t="str">
        <f aca="false">IF(OR($M119="",$K119=""),"",$M119+$K119-1)</f>
        <v/>
      </c>
      <c r="O119" s="37" t="str">
        <f aca="false">IF($A119&lt;&gt;"Seçildi","",IF(OR($M119="",$N119=""),"",IF($N119&gt;10,"⚠ Saat Taşıyor","")))</f>
        <v/>
      </c>
      <c r="P119" s="37" t="str">
        <f aca="false">IF($A119&lt;&gt;"Seçildi","",IF(OR($G119="",$I119="",$M119=""),"",IF(SUMPRODUCT(($A$7:$A$456="Seçildi")*($G$7:$G$456=$G119)*($I$7:$I$456=$I119)*(ROW($A$7:$A$456)&lt;&gt;119)*($M$7:$M$456&lt;=$N119)*($N$7:$N$456&gt;=$M119))&gt;0,"⚠ Çakışma","OK")))</f>
        <v/>
      </c>
      <c r="Q119" s="37" t="str">
        <f aca="false">IF($A119&lt;&gt;"Seçildi","",IF(OR($L119="",$I119="",$M119=""),"",IF(SUMPRODUCT(($A$7:$A$456="Seçildi")*($L$7:$L$456=$L119)*($I$7:$I$456=$I119)*(ROW($A$7:$A$456)&lt;&gt;119)*($M$7:$M$456&lt;=$N119)*($N$7:$N$456&gt;=$M119))&gt;0,"⚠ Çakışma","OK")))</f>
        <v/>
      </c>
      <c r="R119" s="37" t="str">
        <f aca="false">IF($A119&lt;&gt;"Seçildi","",IF(OR($D119="",$I119="",$M119=""),"",IF(SUMPRODUCT(($A$7:$A$456="Seçildi")*($D$7:$D$456=$D119)*($I$7:$I$456=$I119)*(ROW($A$7:$A$456)&lt;&gt;119)*($M$7:$M$456&lt;=$N119)*($N$7:$N$456&gt;=$M119))&gt;0,"⚠ Çakışma","OK")))</f>
        <v/>
      </c>
      <c r="S119" s="37"/>
      <c r="T119" s="37" t="str">
        <f aca="false">IF(OR($A119&lt;&gt;"Seçildi",AND($I119="",$J119="")),"",IF(OR($O119&lt;&gt;"",$P119="⚠ Çakışma",$Q119="⚠ Çakışma",$R119="⚠ Çakışma"),"⚠ Kontrol Et","✓ Uygun"))</f>
        <v/>
      </c>
    </row>
    <row r="120" customFormat="false" ht="13.5" hidden="false" customHeight="true" outlineLevel="0" collapsed="false">
      <c r="A120" s="37" t="str">
        <f aca="false">'1-Ders Havuzu'!K40</f>
        <v>Seçilmedi</v>
      </c>
      <c r="B120" s="37" t="str">
        <f aca="false">IF($A120="Seçildi",IF('1-Ders Havuzu'!C40="","",'1-Ders Havuzu'!C40),"")</f>
        <v/>
      </c>
      <c r="C120" s="38" t="str">
        <f aca="false">IF($A120="Seçildi",IF('1-Ders Havuzu'!D40="","",'1-Ders Havuzu'!D40),"")</f>
        <v/>
      </c>
      <c r="D120" s="37" t="str">
        <f aca="false">IF($A120="Seçildi",IF('1-Ders Havuzu'!B40="","",'1-Ders Havuzu'!B40),"")</f>
        <v/>
      </c>
      <c r="E120" s="37" t="str">
        <f aca="false">IF($A120="Seçildi",IF('1-Ders Havuzu'!A40="","",'1-Ders Havuzu'!A40),"")</f>
        <v/>
      </c>
      <c r="F120" s="37" t="str">
        <f aca="false">IF($A120="Seçildi",IF('1-Ders Havuzu'!H40="","",'1-Ders Havuzu'!H40),"")</f>
        <v/>
      </c>
      <c r="G120" s="37" t="str">
        <f aca="false">IF($A120="Seçildi",IF('2-Ders-Öğr.Elemanı Eşleştirme'!H40="","",'2-Ders-Öğr.Elemanı Eşleştirme'!H40),"")</f>
        <v/>
      </c>
      <c r="H120" s="39" t="n">
        <v>3</v>
      </c>
      <c r="I120" s="36"/>
      <c r="J120" s="36"/>
      <c r="K120" s="36"/>
      <c r="L120" s="36"/>
      <c r="M120" s="37" t="str">
        <f aca="false">IF($J120="","",MATCH($J120,{"08.00";"09.00";"10.00";"11.00";"12.00";"13.00";"14.00";"15.00";"16.00";"17.00"},0))</f>
        <v/>
      </c>
      <c r="N120" s="37" t="str">
        <f aca="false">IF(OR($M120="",$K120=""),"",$M120+$K120-1)</f>
        <v/>
      </c>
      <c r="O120" s="37" t="str">
        <f aca="false">IF($A120&lt;&gt;"Seçildi","",IF(OR($M120="",$N120=""),"",IF($N120&gt;10,"⚠ Saat Taşıyor","")))</f>
        <v/>
      </c>
      <c r="P120" s="37" t="str">
        <f aca="false">IF($A120&lt;&gt;"Seçildi","",IF(OR($G120="",$I120="",$M120=""),"",IF(SUMPRODUCT(($A$7:$A$456="Seçildi")*($G$7:$G$456=$G120)*($I$7:$I$456=$I120)*(ROW($A$7:$A$456)&lt;&gt;120)*($M$7:$M$456&lt;=$N120)*($N$7:$N$456&gt;=$M120))&gt;0,"⚠ Çakışma","OK")))</f>
        <v/>
      </c>
      <c r="Q120" s="37" t="str">
        <f aca="false">IF($A120&lt;&gt;"Seçildi","",IF(OR($L120="",$I120="",$M120=""),"",IF(SUMPRODUCT(($A$7:$A$456="Seçildi")*($L$7:$L$456=$L120)*($I$7:$I$456=$I120)*(ROW($A$7:$A$456)&lt;&gt;120)*($M$7:$M$456&lt;=$N120)*($N$7:$N$456&gt;=$M120))&gt;0,"⚠ Çakışma","OK")))</f>
        <v/>
      </c>
      <c r="R120" s="37" t="str">
        <f aca="false">IF($A120&lt;&gt;"Seçildi","",IF(OR($D120="",$I120="",$M120=""),"",IF(SUMPRODUCT(($A$7:$A$456="Seçildi")*($D$7:$D$456=$D120)*($I$7:$I$456=$I120)*(ROW($A$7:$A$456)&lt;&gt;120)*($M$7:$M$456&lt;=$N120)*($N$7:$N$456&gt;=$M120))&gt;0,"⚠ Çakışma","OK")))</f>
        <v/>
      </c>
      <c r="S120" s="37"/>
      <c r="T120" s="37" t="str">
        <f aca="false">IF(OR($A120&lt;&gt;"Seçildi",AND($I120="",$J120="")),"",IF(OR($O120&lt;&gt;"",$P120="⚠ Çakışma",$Q120="⚠ Çakışma",$R120="⚠ Çakışma"),"⚠ Kontrol Et","✓ Uygun"))</f>
        <v/>
      </c>
    </row>
    <row r="121" customFormat="false" ht="13.5" hidden="false" customHeight="true" outlineLevel="0" collapsed="false">
      <c r="A121" s="33" t="str">
        <f aca="false">'1-Ders Havuzu'!K41</f>
        <v>Seçilmedi</v>
      </c>
      <c r="B121" s="33" t="str">
        <f aca="false">IF($A121="Seçildi",IF('1-Ders Havuzu'!C41="","",'1-Ders Havuzu'!C41),"")</f>
        <v/>
      </c>
      <c r="C121" s="34" t="str">
        <f aca="false">IF($A121="Seçildi",IF('1-Ders Havuzu'!D41="","",'1-Ders Havuzu'!D41),"")</f>
        <v/>
      </c>
      <c r="D121" s="33" t="str">
        <f aca="false">IF($A121="Seçildi",IF('1-Ders Havuzu'!B41="","",'1-Ders Havuzu'!B41),"")</f>
        <v/>
      </c>
      <c r="E121" s="33" t="str">
        <f aca="false">IF($A121="Seçildi",IF('1-Ders Havuzu'!A41="","",'1-Ders Havuzu'!A41),"")</f>
        <v/>
      </c>
      <c r="F121" s="33" t="str">
        <f aca="false">IF($A121="Seçildi",IF('1-Ders Havuzu'!H41="","",'1-Ders Havuzu'!H41),"")</f>
        <v/>
      </c>
      <c r="G121" s="33" t="str">
        <f aca="false">IF($A121="Seçildi",IF('2-Ders-Öğr.Elemanı Eşleştirme'!H41="","",'2-Ders-Öğr.Elemanı Eşleştirme'!H41),"")</f>
        <v/>
      </c>
      <c r="H121" s="35" t="n">
        <v>1</v>
      </c>
      <c r="I121" s="36"/>
      <c r="J121" s="36"/>
      <c r="K121" s="36"/>
      <c r="L121" s="36"/>
      <c r="M121" s="33" t="str">
        <f aca="false">IF($J121="","",MATCH($J121,{"08.00";"09.00";"10.00";"11.00";"12.00";"13.00";"14.00";"15.00";"16.00";"17.00"},0))</f>
        <v/>
      </c>
      <c r="N121" s="33" t="str">
        <f aca="false">IF(OR($M121="",$K121=""),"",$M121+$K121-1)</f>
        <v/>
      </c>
      <c r="O121" s="33" t="str">
        <f aca="false">IF($A121&lt;&gt;"Seçildi","",IF(OR($M121="",$N121=""),"",IF($N121&gt;10,"⚠ Saat Taşıyor","")))</f>
        <v/>
      </c>
      <c r="P121" s="33" t="str">
        <f aca="false">IF($A121&lt;&gt;"Seçildi","",IF(OR($G121="",$I121="",$M121=""),"",IF(SUMPRODUCT(($A$7:$A$456="Seçildi")*($G$7:$G$456=$G121)*($I$7:$I$456=$I121)*(ROW($A$7:$A$456)&lt;&gt;121)*($M$7:$M$456&lt;=$N121)*($N$7:$N$456&gt;=$M121))&gt;0,"⚠ Çakışma","OK")))</f>
        <v/>
      </c>
      <c r="Q121" s="33" t="str">
        <f aca="false">IF($A121&lt;&gt;"Seçildi","",IF(OR($L121="",$I121="",$M121=""),"",IF(SUMPRODUCT(($A$7:$A$456="Seçildi")*($L$7:$L$456=$L121)*($I$7:$I$456=$I121)*(ROW($A$7:$A$456)&lt;&gt;121)*($M$7:$M$456&lt;=$N121)*($N$7:$N$456&gt;=$M121))&gt;0,"⚠ Çakışma","OK")))</f>
        <v/>
      </c>
      <c r="R121" s="33" t="str">
        <f aca="false">IF($A121&lt;&gt;"Seçildi","",IF(OR($D121="",$I121="",$M121=""),"",IF(SUMPRODUCT(($A$7:$A$456="Seçildi")*($D$7:$D$456=$D121)*($I$7:$I$456=$I121)*(ROW($A$7:$A$456)&lt;&gt;121)*($M$7:$M$456&lt;=$N121)*($N$7:$N$456&gt;=$M121))&gt;0,"⚠ Çakışma","OK")))</f>
        <v/>
      </c>
      <c r="S121" s="33" t="str">
        <f aca="false">IF($A121&lt;&gt;"Seçildi","",IF(SUM($K121,$K122,$K123)&lt;&gt;$F121,"⚠ Dağılım: "&amp;SUM($K121:$K123)&amp;"/"&amp;$F121&amp;" saat","✓ Tamam"))</f>
        <v/>
      </c>
      <c r="T121" s="33" t="str">
        <f aca="false">IF($A121&lt;&gt;"Seçildi","",IF(OR($O121&lt;&gt;"",$P121="⚠ Çakışma",$Q121="⚠ Çakışma",$R121="⚠ Çakışma",LEFT($S121&amp;" ",1)="⚠"),"⚠ Kontrol Et","✓ Uygun"))</f>
        <v/>
      </c>
    </row>
    <row r="122" customFormat="false" ht="13.5" hidden="false" customHeight="true" outlineLevel="0" collapsed="false">
      <c r="A122" s="33" t="str">
        <f aca="false">'1-Ders Havuzu'!K41</f>
        <v>Seçilmedi</v>
      </c>
      <c r="B122" s="33" t="str">
        <f aca="false">IF($A122="Seçildi",IF('1-Ders Havuzu'!C41="","",'1-Ders Havuzu'!C41),"")</f>
        <v/>
      </c>
      <c r="C122" s="34" t="str">
        <f aca="false">IF($A122="Seçildi",IF('1-Ders Havuzu'!D41="","",'1-Ders Havuzu'!D41),"")</f>
        <v/>
      </c>
      <c r="D122" s="33" t="str">
        <f aca="false">IF($A122="Seçildi",IF('1-Ders Havuzu'!B41="","",'1-Ders Havuzu'!B41),"")</f>
        <v/>
      </c>
      <c r="E122" s="33" t="str">
        <f aca="false">IF($A122="Seçildi",IF('1-Ders Havuzu'!A41="","",'1-Ders Havuzu'!A41),"")</f>
        <v/>
      </c>
      <c r="F122" s="33" t="str">
        <f aca="false">IF($A122="Seçildi",IF('1-Ders Havuzu'!H41="","",'1-Ders Havuzu'!H41),"")</f>
        <v/>
      </c>
      <c r="G122" s="33" t="str">
        <f aca="false">IF($A122="Seçildi",IF('2-Ders-Öğr.Elemanı Eşleştirme'!H41="","",'2-Ders-Öğr.Elemanı Eşleştirme'!H41),"")</f>
        <v/>
      </c>
      <c r="H122" s="35" t="n">
        <v>2</v>
      </c>
      <c r="I122" s="36"/>
      <c r="J122" s="36"/>
      <c r="K122" s="36"/>
      <c r="L122" s="36"/>
      <c r="M122" s="33" t="str">
        <f aca="false">IF($J122="","",MATCH($J122,{"08.00";"09.00";"10.00";"11.00";"12.00";"13.00";"14.00";"15.00";"16.00";"17.00"},0))</f>
        <v/>
      </c>
      <c r="N122" s="33" t="str">
        <f aca="false">IF(OR($M122="",$K122=""),"",$M122+$K122-1)</f>
        <v/>
      </c>
      <c r="O122" s="33" t="str">
        <f aca="false">IF($A122&lt;&gt;"Seçildi","",IF(OR($M122="",$N122=""),"",IF($N122&gt;10,"⚠ Saat Taşıyor","")))</f>
        <v/>
      </c>
      <c r="P122" s="33" t="str">
        <f aca="false">IF($A122&lt;&gt;"Seçildi","",IF(OR($G122="",$I122="",$M122=""),"",IF(SUMPRODUCT(($A$7:$A$456="Seçildi")*($G$7:$G$456=$G122)*($I$7:$I$456=$I122)*(ROW($A$7:$A$456)&lt;&gt;122)*($M$7:$M$456&lt;=$N122)*($N$7:$N$456&gt;=$M122))&gt;0,"⚠ Çakışma","OK")))</f>
        <v/>
      </c>
      <c r="Q122" s="33" t="str">
        <f aca="false">IF($A122&lt;&gt;"Seçildi","",IF(OR($L122="",$I122="",$M122=""),"",IF(SUMPRODUCT(($A$7:$A$456="Seçildi")*($L$7:$L$456=$L122)*($I$7:$I$456=$I122)*(ROW($A$7:$A$456)&lt;&gt;122)*($M$7:$M$456&lt;=$N122)*($N$7:$N$456&gt;=$M122))&gt;0,"⚠ Çakışma","OK")))</f>
        <v/>
      </c>
      <c r="R122" s="33" t="str">
        <f aca="false">IF($A122&lt;&gt;"Seçildi","",IF(OR($D122="",$I122="",$M122=""),"",IF(SUMPRODUCT(($A$7:$A$456="Seçildi")*($D$7:$D$456=$D122)*($I$7:$I$456=$I122)*(ROW($A$7:$A$456)&lt;&gt;122)*($M$7:$M$456&lt;=$N122)*($N$7:$N$456&gt;=$M122))&gt;0,"⚠ Çakışma","OK")))</f>
        <v/>
      </c>
      <c r="S122" s="33"/>
      <c r="T122" s="33" t="str">
        <f aca="false">IF(OR($A122&lt;&gt;"Seçildi",AND($I122="",$J122="")),"",IF(OR($O122&lt;&gt;"",$P122="⚠ Çakışma",$Q122="⚠ Çakışma",$R122="⚠ Çakışma"),"⚠ Kontrol Et","✓ Uygun"))</f>
        <v/>
      </c>
    </row>
    <row r="123" customFormat="false" ht="13.5" hidden="false" customHeight="true" outlineLevel="0" collapsed="false">
      <c r="A123" s="33" t="str">
        <f aca="false">'1-Ders Havuzu'!K41</f>
        <v>Seçilmedi</v>
      </c>
      <c r="B123" s="33" t="str">
        <f aca="false">IF($A123="Seçildi",IF('1-Ders Havuzu'!C41="","",'1-Ders Havuzu'!C41),"")</f>
        <v/>
      </c>
      <c r="C123" s="34" t="str">
        <f aca="false">IF($A123="Seçildi",IF('1-Ders Havuzu'!D41="","",'1-Ders Havuzu'!D41),"")</f>
        <v/>
      </c>
      <c r="D123" s="33" t="str">
        <f aca="false">IF($A123="Seçildi",IF('1-Ders Havuzu'!B41="","",'1-Ders Havuzu'!B41),"")</f>
        <v/>
      </c>
      <c r="E123" s="33" t="str">
        <f aca="false">IF($A123="Seçildi",IF('1-Ders Havuzu'!A41="","",'1-Ders Havuzu'!A41),"")</f>
        <v/>
      </c>
      <c r="F123" s="33" t="str">
        <f aca="false">IF($A123="Seçildi",IF('1-Ders Havuzu'!H41="","",'1-Ders Havuzu'!H41),"")</f>
        <v/>
      </c>
      <c r="G123" s="33" t="str">
        <f aca="false">IF($A123="Seçildi",IF('2-Ders-Öğr.Elemanı Eşleştirme'!H41="","",'2-Ders-Öğr.Elemanı Eşleştirme'!H41),"")</f>
        <v/>
      </c>
      <c r="H123" s="35" t="n">
        <v>3</v>
      </c>
      <c r="I123" s="36"/>
      <c r="J123" s="36"/>
      <c r="K123" s="36"/>
      <c r="L123" s="36"/>
      <c r="M123" s="33" t="str">
        <f aca="false">IF($J123="","",MATCH($J123,{"08.00";"09.00";"10.00";"11.00";"12.00";"13.00";"14.00";"15.00";"16.00";"17.00"},0))</f>
        <v/>
      </c>
      <c r="N123" s="33" t="str">
        <f aca="false">IF(OR($M123="",$K123=""),"",$M123+$K123-1)</f>
        <v/>
      </c>
      <c r="O123" s="33" t="str">
        <f aca="false">IF($A123&lt;&gt;"Seçildi","",IF(OR($M123="",$N123=""),"",IF($N123&gt;10,"⚠ Saat Taşıyor","")))</f>
        <v/>
      </c>
      <c r="P123" s="33" t="str">
        <f aca="false">IF($A123&lt;&gt;"Seçildi","",IF(OR($G123="",$I123="",$M123=""),"",IF(SUMPRODUCT(($A$7:$A$456="Seçildi")*($G$7:$G$456=$G123)*($I$7:$I$456=$I123)*(ROW($A$7:$A$456)&lt;&gt;123)*($M$7:$M$456&lt;=$N123)*($N$7:$N$456&gt;=$M123))&gt;0,"⚠ Çakışma","OK")))</f>
        <v/>
      </c>
      <c r="Q123" s="33" t="str">
        <f aca="false">IF($A123&lt;&gt;"Seçildi","",IF(OR($L123="",$I123="",$M123=""),"",IF(SUMPRODUCT(($A$7:$A$456="Seçildi")*($L$7:$L$456=$L123)*($I$7:$I$456=$I123)*(ROW($A$7:$A$456)&lt;&gt;123)*($M$7:$M$456&lt;=$N123)*($N$7:$N$456&gt;=$M123))&gt;0,"⚠ Çakışma","OK")))</f>
        <v/>
      </c>
      <c r="R123" s="33" t="str">
        <f aca="false">IF($A123&lt;&gt;"Seçildi","",IF(OR($D123="",$I123="",$M123=""),"",IF(SUMPRODUCT(($A$7:$A$456="Seçildi")*($D$7:$D$456=$D123)*($I$7:$I$456=$I123)*(ROW($A$7:$A$456)&lt;&gt;123)*($M$7:$M$456&lt;=$N123)*($N$7:$N$456&gt;=$M123))&gt;0,"⚠ Çakışma","OK")))</f>
        <v/>
      </c>
      <c r="S123" s="33"/>
      <c r="T123" s="33" t="str">
        <f aca="false">IF(OR($A123&lt;&gt;"Seçildi",AND($I123="",$J123="")),"",IF(OR($O123&lt;&gt;"",$P123="⚠ Çakışma",$Q123="⚠ Çakışma",$R123="⚠ Çakışma"),"⚠ Kontrol Et","✓ Uygun"))</f>
        <v/>
      </c>
    </row>
    <row r="124" customFormat="false" ht="13.5" hidden="false" customHeight="true" outlineLevel="0" collapsed="false">
      <c r="A124" s="37" t="str">
        <f aca="false">'1-Ders Havuzu'!K42</f>
        <v>Seçilmedi</v>
      </c>
      <c r="B124" s="37" t="str">
        <f aca="false">IF($A124="Seçildi",IF('1-Ders Havuzu'!C42="","",'1-Ders Havuzu'!C42),"")</f>
        <v/>
      </c>
      <c r="C124" s="38" t="str">
        <f aca="false">IF($A124="Seçildi",IF('1-Ders Havuzu'!D42="","",'1-Ders Havuzu'!D42),"")</f>
        <v/>
      </c>
      <c r="D124" s="37" t="str">
        <f aca="false">IF($A124="Seçildi",IF('1-Ders Havuzu'!B42="","",'1-Ders Havuzu'!B42),"")</f>
        <v/>
      </c>
      <c r="E124" s="37" t="str">
        <f aca="false">IF($A124="Seçildi",IF('1-Ders Havuzu'!A42="","",'1-Ders Havuzu'!A42),"")</f>
        <v/>
      </c>
      <c r="F124" s="37" t="str">
        <f aca="false">IF($A124="Seçildi",IF('1-Ders Havuzu'!H42="","",'1-Ders Havuzu'!H42),"")</f>
        <v/>
      </c>
      <c r="G124" s="37" t="str">
        <f aca="false">IF($A124="Seçildi",IF('2-Ders-Öğr.Elemanı Eşleştirme'!H42="","",'2-Ders-Öğr.Elemanı Eşleştirme'!H42),"")</f>
        <v/>
      </c>
      <c r="H124" s="39" t="n">
        <v>1</v>
      </c>
      <c r="I124" s="36"/>
      <c r="J124" s="36"/>
      <c r="K124" s="36"/>
      <c r="L124" s="36"/>
      <c r="M124" s="37" t="str">
        <f aca="false">IF($J124="","",MATCH($J124,{"08.00";"09.00";"10.00";"11.00";"12.00";"13.00";"14.00";"15.00";"16.00";"17.00"},0))</f>
        <v/>
      </c>
      <c r="N124" s="37" t="str">
        <f aca="false">IF(OR($M124="",$K124=""),"",$M124+$K124-1)</f>
        <v/>
      </c>
      <c r="O124" s="37" t="str">
        <f aca="false">IF($A124&lt;&gt;"Seçildi","",IF(OR($M124="",$N124=""),"",IF($N124&gt;10,"⚠ Saat Taşıyor","")))</f>
        <v/>
      </c>
      <c r="P124" s="37" t="str">
        <f aca="false">IF($A124&lt;&gt;"Seçildi","",IF(OR($G124="",$I124="",$M124=""),"",IF(SUMPRODUCT(($A$7:$A$456="Seçildi")*($G$7:$G$456=$G124)*($I$7:$I$456=$I124)*(ROW($A$7:$A$456)&lt;&gt;124)*($M$7:$M$456&lt;=$N124)*($N$7:$N$456&gt;=$M124))&gt;0,"⚠ Çakışma","OK")))</f>
        <v/>
      </c>
      <c r="Q124" s="37" t="str">
        <f aca="false">IF($A124&lt;&gt;"Seçildi","",IF(OR($L124="",$I124="",$M124=""),"",IF(SUMPRODUCT(($A$7:$A$456="Seçildi")*($L$7:$L$456=$L124)*($I$7:$I$456=$I124)*(ROW($A$7:$A$456)&lt;&gt;124)*($M$7:$M$456&lt;=$N124)*($N$7:$N$456&gt;=$M124))&gt;0,"⚠ Çakışma","OK")))</f>
        <v/>
      </c>
      <c r="R124" s="37" t="str">
        <f aca="false">IF($A124&lt;&gt;"Seçildi","",IF(OR($D124="",$I124="",$M124=""),"",IF(SUMPRODUCT(($A$7:$A$456="Seçildi")*($D$7:$D$456=$D124)*($I$7:$I$456=$I124)*(ROW($A$7:$A$456)&lt;&gt;124)*($M$7:$M$456&lt;=$N124)*($N$7:$N$456&gt;=$M124))&gt;0,"⚠ Çakışma","OK")))</f>
        <v/>
      </c>
      <c r="S124" s="37" t="str">
        <f aca="false">IF($A124&lt;&gt;"Seçildi","",IF(SUM($K124,$K125,$K126)&lt;&gt;$F124,"⚠ Dağılım: "&amp;SUM($K124:$K126)&amp;"/"&amp;$F124&amp;" saat","✓ Tamam"))</f>
        <v/>
      </c>
      <c r="T124" s="37" t="str">
        <f aca="false">IF($A124&lt;&gt;"Seçildi","",IF(OR($O124&lt;&gt;"",$P124="⚠ Çakışma",$Q124="⚠ Çakışma",$R124="⚠ Çakışma",LEFT($S124&amp;" ",1)="⚠"),"⚠ Kontrol Et","✓ Uygun"))</f>
        <v/>
      </c>
    </row>
    <row r="125" customFormat="false" ht="13.5" hidden="false" customHeight="true" outlineLevel="0" collapsed="false">
      <c r="A125" s="37" t="str">
        <f aca="false">'1-Ders Havuzu'!K42</f>
        <v>Seçilmedi</v>
      </c>
      <c r="B125" s="37" t="str">
        <f aca="false">IF($A125="Seçildi",IF('1-Ders Havuzu'!C42="","",'1-Ders Havuzu'!C42),"")</f>
        <v/>
      </c>
      <c r="C125" s="38" t="str">
        <f aca="false">IF($A125="Seçildi",IF('1-Ders Havuzu'!D42="","",'1-Ders Havuzu'!D42),"")</f>
        <v/>
      </c>
      <c r="D125" s="37" t="str">
        <f aca="false">IF($A125="Seçildi",IF('1-Ders Havuzu'!B42="","",'1-Ders Havuzu'!B42),"")</f>
        <v/>
      </c>
      <c r="E125" s="37" t="str">
        <f aca="false">IF($A125="Seçildi",IF('1-Ders Havuzu'!A42="","",'1-Ders Havuzu'!A42),"")</f>
        <v/>
      </c>
      <c r="F125" s="37" t="str">
        <f aca="false">IF($A125="Seçildi",IF('1-Ders Havuzu'!H42="","",'1-Ders Havuzu'!H42),"")</f>
        <v/>
      </c>
      <c r="G125" s="37" t="str">
        <f aca="false">IF($A125="Seçildi",IF('2-Ders-Öğr.Elemanı Eşleştirme'!H42="","",'2-Ders-Öğr.Elemanı Eşleştirme'!H42),"")</f>
        <v/>
      </c>
      <c r="H125" s="39" t="n">
        <v>2</v>
      </c>
      <c r="I125" s="36"/>
      <c r="J125" s="36"/>
      <c r="K125" s="36"/>
      <c r="L125" s="36"/>
      <c r="M125" s="37" t="str">
        <f aca="false">IF($J125="","",MATCH($J125,{"08.00";"09.00";"10.00";"11.00";"12.00";"13.00";"14.00";"15.00";"16.00";"17.00"},0))</f>
        <v/>
      </c>
      <c r="N125" s="37" t="str">
        <f aca="false">IF(OR($M125="",$K125=""),"",$M125+$K125-1)</f>
        <v/>
      </c>
      <c r="O125" s="37" t="str">
        <f aca="false">IF($A125&lt;&gt;"Seçildi","",IF(OR($M125="",$N125=""),"",IF($N125&gt;10,"⚠ Saat Taşıyor","")))</f>
        <v/>
      </c>
      <c r="P125" s="37" t="str">
        <f aca="false">IF($A125&lt;&gt;"Seçildi","",IF(OR($G125="",$I125="",$M125=""),"",IF(SUMPRODUCT(($A$7:$A$456="Seçildi")*($G$7:$G$456=$G125)*($I$7:$I$456=$I125)*(ROW($A$7:$A$456)&lt;&gt;125)*($M$7:$M$456&lt;=$N125)*($N$7:$N$456&gt;=$M125))&gt;0,"⚠ Çakışma","OK")))</f>
        <v/>
      </c>
      <c r="Q125" s="37" t="str">
        <f aca="false">IF($A125&lt;&gt;"Seçildi","",IF(OR($L125="",$I125="",$M125=""),"",IF(SUMPRODUCT(($A$7:$A$456="Seçildi")*($L$7:$L$456=$L125)*($I$7:$I$456=$I125)*(ROW($A$7:$A$456)&lt;&gt;125)*($M$7:$M$456&lt;=$N125)*($N$7:$N$456&gt;=$M125))&gt;0,"⚠ Çakışma","OK")))</f>
        <v/>
      </c>
      <c r="R125" s="37" t="str">
        <f aca="false">IF($A125&lt;&gt;"Seçildi","",IF(OR($D125="",$I125="",$M125=""),"",IF(SUMPRODUCT(($A$7:$A$456="Seçildi")*($D$7:$D$456=$D125)*($I$7:$I$456=$I125)*(ROW($A$7:$A$456)&lt;&gt;125)*($M$7:$M$456&lt;=$N125)*($N$7:$N$456&gt;=$M125))&gt;0,"⚠ Çakışma","OK")))</f>
        <v/>
      </c>
      <c r="S125" s="37"/>
      <c r="T125" s="37" t="str">
        <f aca="false">IF(OR($A125&lt;&gt;"Seçildi",AND($I125="",$J125="")),"",IF(OR($O125&lt;&gt;"",$P125="⚠ Çakışma",$Q125="⚠ Çakışma",$R125="⚠ Çakışma"),"⚠ Kontrol Et","✓ Uygun"))</f>
        <v/>
      </c>
    </row>
    <row r="126" customFormat="false" ht="13.5" hidden="false" customHeight="true" outlineLevel="0" collapsed="false">
      <c r="A126" s="37" t="str">
        <f aca="false">'1-Ders Havuzu'!K42</f>
        <v>Seçilmedi</v>
      </c>
      <c r="B126" s="37" t="str">
        <f aca="false">IF($A126="Seçildi",IF('1-Ders Havuzu'!C42="","",'1-Ders Havuzu'!C42),"")</f>
        <v/>
      </c>
      <c r="C126" s="38" t="str">
        <f aca="false">IF($A126="Seçildi",IF('1-Ders Havuzu'!D42="","",'1-Ders Havuzu'!D42),"")</f>
        <v/>
      </c>
      <c r="D126" s="37" t="str">
        <f aca="false">IF($A126="Seçildi",IF('1-Ders Havuzu'!B42="","",'1-Ders Havuzu'!B42),"")</f>
        <v/>
      </c>
      <c r="E126" s="37" t="str">
        <f aca="false">IF($A126="Seçildi",IF('1-Ders Havuzu'!A42="","",'1-Ders Havuzu'!A42),"")</f>
        <v/>
      </c>
      <c r="F126" s="37" t="str">
        <f aca="false">IF($A126="Seçildi",IF('1-Ders Havuzu'!H42="","",'1-Ders Havuzu'!H42),"")</f>
        <v/>
      </c>
      <c r="G126" s="37" t="str">
        <f aca="false">IF($A126="Seçildi",IF('2-Ders-Öğr.Elemanı Eşleştirme'!H42="","",'2-Ders-Öğr.Elemanı Eşleştirme'!H42),"")</f>
        <v/>
      </c>
      <c r="H126" s="39" t="n">
        <v>3</v>
      </c>
      <c r="I126" s="36"/>
      <c r="J126" s="36"/>
      <c r="K126" s="36"/>
      <c r="L126" s="36"/>
      <c r="M126" s="37" t="str">
        <f aca="false">IF($J126="","",MATCH($J126,{"08.00";"09.00";"10.00";"11.00";"12.00";"13.00";"14.00";"15.00";"16.00";"17.00"},0))</f>
        <v/>
      </c>
      <c r="N126" s="37" t="str">
        <f aca="false">IF(OR($M126="",$K126=""),"",$M126+$K126-1)</f>
        <v/>
      </c>
      <c r="O126" s="37" t="str">
        <f aca="false">IF($A126&lt;&gt;"Seçildi","",IF(OR($M126="",$N126=""),"",IF($N126&gt;10,"⚠ Saat Taşıyor","")))</f>
        <v/>
      </c>
      <c r="P126" s="37" t="str">
        <f aca="false">IF($A126&lt;&gt;"Seçildi","",IF(OR($G126="",$I126="",$M126=""),"",IF(SUMPRODUCT(($A$7:$A$456="Seçildi")*($G$7:$G$456=$G126)*($I$7:$I$456=$I126)*(ROW($A$7:$A$456)&lt;&gt;126)*($M$7:$M$456&lt;=$N126)*($N$7:$N$456&gt;=$M126))&gt;0,"⚠ Çakışma","OK")))</f>
        <v/>
      </c>
      <c r="Q126" s="37" t="str">
        <f aca="false">IF($A126&lt;&gt;"Seçildi","",IF(OR($L126="",$I126="",$M126=""),"",IF(SUMPRODUCT(($A$7:$A$456="Seçildi")*($L$7:$L$456=$L126)*($I$7:$I$456=$I126)*(ROW($A$7:$A$456)&lt;&gt;126)*($M$7:$M$456&lt;=$N126)*($N$7:$N$456&gt;=$M126))&gt;0,"⚠ Çakışma","OK")))</f>
        <v/>
      </c>
      <c r="R126" s="37" t="str">
        <f aca="false">IF($A126&lt;&gt;"Seçildi","",IF(OR($D126="",$I126="",$M126=""),"",IF(SUMPRODUCT(($A$7:$A$456="Seçildi")*($D$7:$D$456=$D126)*($I$7:$I$456=$I126)*(ROW($A$7:$A$456)&lt;&gt;126)*($M$7:$M$456&lt;=$N126)*($N$7:$N$456&gt;=$M126))&gt;0,"⚠ Çakışma","OK")))</f>
        <v/>
      </c>
      <c r="S126" s="37"/>
      <c r="T126" s="37" t="str">
        <f aca="false">IF(OR($A126&lt;&gt;"Seçildi",AND($I126="",$J126="")),"",IF(OR($O126&lt;&gt;"",$P126="⚠ Çakışma",$Q126="⚠ Çakışma",$R126="⚠ Çakışma"),"⚠ Kontrol Et","✓ Uygun"))</f>
        <v/>
      </c>
    </row>
    <row r="127" customFormat="false" ht="13.5" hidden="false" customHeight="true" outlineLevel="0" collapsed="false">
      <c r="A127" s="33" t="str">
        <f aca="false">'1-Ders Havuzu'!K43</f>
        <v>Seçilmedi</v>
      </c>
      <c r="B127" s="33" t="str">
        <f aca="false">IF($A127="Seçildi",IF('1-Ders Havuzu'!C43="","",'1-Ders Havuzu'!C43),"")</f>
        <v/>
      </c>
      <c r="C127" s="34" t="str">
        <f aca="false">IF($A127="Seçildi",IF('1-Ders Havuzu'!D43="","",'1-Ders Havuzu'!D43),"")</f>
        <v/>
      </c>
      <c r="D127" s="33" t="str">
        <f aca="false">IF($A127="Seçildi",IF('1-Ders Havuzu'!B43="","",'1-Ders Havuzu'!B43),"")</f>
        <v/>
      </c>
      <c r="E127" s="33" t="str">
        <f aca="false">IF($A127="Seçildi",IF('1-Ders Havuzu'!A43="","",'1-Ders Havuzu'!A43),"")</f>
        <v/>
      </c>
      <c r="F127" s="33" t="str">
        <f aca="false">IF($A127="Seçildi",IF('1-Ders Havuzu'!H43="","",'1-Ders Havuzu'!H43),"")</f>
        <v/>
      </c>
      <c r="G127" s="33" t="str">
        <f aca="false">IF($A127="Seçildi",IF('2-Ders-Öğr.Elemanı Eşleştirme'!H43="","",'2-Ders-Öğr.Elemanı Eşleştirme'!H43),"")</f>
        <v/>
      </c>
      <c r="H127" s="35" t="n">
        <v>1</v>
      </c>
      <c r="I127" s="36"/>
      <c r="J127" s="36"/>
      <c r="K127" s="36"/>
      <c r="L127" s="36"/>
      <c r="M127" s="33" t="str">
        <f aca="false">IF($J127="","",MATCH($J127,{"08.00";"09.00";"10.00";"11.00";"12.00";"13.00";"14.00";"15.00";"16.00";"17.00"},0))</f>
        <v/>
      </c>
      <c r="N127" s="33" t="str">
        <f aca="false">IF(OR($M127="",$K127=""),"",$M127+$K127-1)</f>
        <v/>
      </c>
      <c r="O127" s="33" t="str">
        <f aca="false">IF($A127&lt;&gt;"Seçildi","",IF(OR($M127="",$N127=""),"",IF($N127&gt;10,"⚠ Saat Taşıyor","")))</f>
        <v/>
      </c>
      <c r="P127" s="33" t="str">
        <f aca="false">IF($A127&lt;&gt;"Seçildi","",IF(OR($G127="",$I127="",$M127=""),"",IF(SUMPRODUCT(($A$7:$A$456="Seçildi")*($G$7:$G$456=$G127)*($I$7:$I$456=$I127)*(ROW($A$7:$A$456)&lt;&gt;127)*($M$7:$M$456&lt;=$N127)*($N$7:$N$456&gt;=$M127))&gt;0,"⚠ Çakışma","OK")))</f>
        <v/>
      </c>
      <c r="Q127" s="33" t="str">
        <f aca="false">IF($A127&lt;&gt;"Seçildi","",IF(OR($L127="",$I127="",$M127=""),"",IF(SUMPRODUCT(($A$7:$A$456="Seçildi")*($L$7:$L$456=$L127)*($I$7:$I$456=$I127)*(ROW($A$7:$A$456)&lt;&gt;127)*($M$7:$M$456&lt;=$N127)*($N$7:$N$456&gt;=$M127))&gt;0,"⚠ Çakışma","OK")))</f>
        <v/>
      </c>
      <c r="R127" s="33" t="str">
        <f aca="false">IF($A127&lt;&gt;"Seçildi","",IF(OR($D127="",$I127="",$M127=""),"",IF(SUMPRODUCT(($A$7:$A$456="Seçildi")*($D$7:$D$456=$D127)*($I$7:$I$456=$I127)*(ROW($A$7:$A$456)&lt;&gt;127)*($M$7:$M$456&lt;=$N127)*($N$7:$N$456&gt;=$M127))&gt;0,"⚠ Çakışma","OK")))</f>
        <v/>
      </c>
      <c r="S127" s="33" t="str">
        <f aca="false">IF($A127&lt;&gt;"Seçildi","",IF(SUM($K127,$K128,$K129)&lt;&gt;$F127,"⚠ Dağılım: "&amp;SUM($K127:$K129)&amp;"/"&amp;$F127&amp;" saat","✓ Tamam"))</f>
        <v/>
      </c>
      <c r="T127" s="33" t="str">
        <f aca="false">IF($A127&lt;&gt;"Seçildi","",IF(OR($O127&lt;&gt;"",$P127="⚠ Çakışma",$Q127="⚠ Çakışma",$R127="⚠ Çakışma",LEFT($S127&amp;" ",1)="⚠"),"⚠ Kontrol Et","✓ Uygun"))</f>
        <v/>
      </c>
    </row>
    <row r="128" customFormat="false" ht="13.5" hidden="false" customHeight="true" outlineLevel="0" collapsed="false">
      <c r="A128" s="33" t="str">
        <f aca="false">'1-Ders Havuzu'!K43</f>
        <v>Seçilmedi</v>
      </c>
      <c r="B128" s="33" t="str">
        <f aca="false">IF($A128="Seçildi",IF('1-Ders Havuzu'!C43="","",'1-Ders Havuzu'!C43),"")</f>
        <v/>
      </c>
      <c r="C128" s="34" t="str">
        <f aca="false">IF($A128="Seçildi",IF('1-Ders Havuzu'!D43="","",'1-Ders Havuzu'!D43),"")</f>
        <v/>
      </c>
      <c r="D128" s="33" t="str">
        <f aca="false">IF($A128="Seçildi",IF('1-Ders Havuzu'!B43="","",'1-Ders Havuzu'!B43),"")</f>
        <v/>
      </c>
      <c r="E128" s="33" t="str">
        <f aca="false">IF($A128="Seçildi",IF('1-Ders Havuzu'!A43="","",'1-Ders Havuzu'!A43),"")</f>
        <v/>
      </c>
      <c r="F128" s="33" t="str">
        <f aca="false">IF($A128="Seçildi",IF('1-Ders Havuzu'!H43="","",'1-Ders Havuzu'!H43),"")</f>
        <v/>
      </c>
      <c r="G128" s="33" t="str">
        <f aca="false">IF($A128="Seçildi",IF('2-Ders-Öğr.Elemanı Eşleştirme'!H43="","",'2-Ders-Öğr.Elemanı Eşleştirme'!H43),"")</f>
        <v/>
      </c>
      <c r="H128" s="35" t="n">
        <v>2</v>
      </c>
      <c r="I128" s="36"/>
      <c r="J128" s="36"/>
      <c r="K128" s="36"/>
      <c r="L128" s="36"/>
      <c r="M128" s="33" t="str">
        <f aca="false">IF($J128="","",MATCH($J128,{"08.00";"09.00";"10.00";"11.00";"12.00";"13.00";"14.00";"15.00";"16.00";"17.00"},0))</f>
        <v/>
      </c>
      <c r="N128" s="33" t="str">
        <f aca="false">IF(OR($M128="",$K128=""),"",$M128+$K128-1)</f>
        <v/>
      </c>
      <c r="O128" s="33" t="str">
        <f aca="false">IF($A128&lt;&gt;"Seçildi","",IF(OR($M128="",$N128=""),"",IF($N128&gt;10,"⚠ Saat Taşıyor","")))</f>
        <v/>
      </c>
      <c r="P128" s="33" t="str">
        <f aca="false">IF($A128&lt;&gt;"Seçildi","",IF(OR($G128="",$I128="",$M128=""),"",IF(SUMPRODUCT(($A$7:$A$456="Seçildi")*($G$7:$G$456=$G128)*($I$7:$I$456=$I128)*(ROW($A$7:$A$456)&lt;&gt;128)*($M$7:$M$456&lt;=$N128)*($N$7:$N$456&gt;=$M128))&gt;0,"⚠ Çakışma","OK")))</f>
        <v/>
      </c>
      <c r="Q128" s="33" t="str">
        <f aca="false">IF($A128&lt;&gt;"Seçildi","",IF(OR($L128="",$I128="",$M128=""),"",IF(SUMPRODUCT(($A$7:$A$456="Seçildi")*($L$7:$L$456=$L128)*($I$7:$I$456=$I128)*(ROW($A$7:$A$456)&lt;&gt;128)*($M$7:$M$456&lt;=$N128)*($N$7:$N$456&gt;=$M128))&gt;0,"⚠ Çakışma","OK")))</f>
        <v/>
      </c>
      <c r="R128" s="33" t="str">
        <f aca="false">IF($A128&lt;&gt;"Seçildi","",IF(OR($D128="",$I128="",$M128=""),"",IF(SUMPRODUCT(($A$7:$A$456="Seçildi")*($D$7:$D$456=$D128)*($I$7:$I$456=$I128)*(ROW($A$7:$A$456)&lt;&gt;128)*($M$7:$M$456&lt;=$N128)*($N$7:$N$456&gt;=$M128))&gt;0,"⚠ Çakışma","OK")))</f>
        <v/>
      </c>
      <c r="S128" s="33"/>
      <c r="T128" s="33" t="str">
        <f aca="false">IF(OR($A128&lt;&gt;"Seçildi",AND($I128="",$J128="")),"",IF(OR($O128&lt;&gt;"",$P128="⚠ Çakışma",$Q128="⚠ Çakışma",$R128="⚠ Çakışma"),"⚠ Kontrol Et","✓ Uygun"))</f>
        <v/>
      </c>
    </row>
    <row r="129" customFormat="false" ht="13.5" hidden="false" customHeight="true" outlineLevel="0" collapsed="false">
      <c r="A129" s="33" t="str">
        <f aca="false">'1-Ders Havuzu'!K43</f>
        <v>Seçilmedi</v>
      </c>
      <c r="B129" s="33" t="str">
        <f aca="false">IF($A129="Seçildi",IF('1-Ders Havuzu'!C43="","",'1-Ders Havuzu'!C43),"")</f>
        <v/>
      </c>
      <c r="C129" s="34" t="str">
        <f aca="false">IF($A129="Seçildi",IF('1-Ders Havuzu'!D43="","",'1-Ders Havuzu'!D43),"")</f>
        <v/>
      </c>
      <c r="D129" s="33" t="str">
        <f aca="false">IF($A129="Seçildi",IF('1-Ders Havuzu'!B43="","",'1-Ders Havuzu'!B43),"")</f>
        <v/>
      </c>
      <c r="E129" s="33" t="str">
        <f aca="false">IF($A129="Seçildi",IF('1-Ders Havuzu'!A43="","",'1-Ders Havuzu'!A43),"")</f>
        <v/>
      </c>
      <c r="F129" s="33" t="str">
        <f aca="false">IF($A129="Seçildi",IF('1-Ders Havuzu'!H43="","",'1-Ders Havuzu'!H43),"")</f>
        <v/>
      </c>
      <c r="G129" s="33" t="str">
        <f aca="false">IF($A129="Seçildi",IF('2-Ders-Öğr.Elemanı Eşleştirme'!H43="","",'2-Ders-Öğr.Elemanı Eşleştirme'!H43),"")</f>
        <v/>
      </c>
      <c r="H129" s="35" t="n">
        <v>3</v>
      </c>
      <c r="I129" s="36"/>
      <c r="J129" s="36"/>
      <c r="K129" s="36"/>
      <c r="L129" s="36"/>
      <c r="M129" s="33" t="str">
        <f aca="false">IF($J129="","",MATCH($J129,{"08.00";"09.00";"10.00";"11.00";"12.00";"13.00";"14.00";"15.00";"16.00";"17.00"},0))</f>
        <v/>
      </c>
      <c r="N129" s="33" t="str">
        <f aca="false">IF(OR($M129="",$K129=""),"",$M129+$K129-1)</f>
        <v/>
      </c>
      <c r="O129" s="33" t="str">
        <f aca="false">IF($A129&lt;&gt;"Seçildi","",IF(OR($M129="",$N129=""),"",IF($N129&gt;10,"⚠ Saat Taşıyor","")))</f>
        <v/>
      </c>
      <c r="P129" s="33" t="str">
        <f aca="false">IF($A129&lt;&gt;"Seçildi","",IF(OR($G129="",$I129="",$M129=""),"",IF(SUMPRODUCT(($A$7:$A$456="Seçildi")*($G$7:$G$456=$G129)*($I$7:$I$456=$I129)*(ROW($A$7:$A$456)&lt;&gt;129)*($M$7:$M$456&lt;=$N129)*($N$7:$N$456&gt;=$M129))&gt;0,"⚠ Çakışma","OK")))</f>
        <v/>
      </c>
      <c r="Q129" s="33" t="str">
        <f aca="false">IF($A129&lt;&gt;"Seçildi","",IF(OR($L129="",$I129="",$M129=""),"",IF(SUMPRODUCT(($A$7:$A$456="Seçildi")*($L$7:$L$456=$L129)*($I$7:$I$456=$I129)*(ROW($A$7:$A$456)&lt;&gt;129)*($M$7:$M$456&lt;=$N129)*($N$7:$N$456&gt;=$M129))&gt;0,"⚠ Çakışma","OK")))</f>
        <v/>
      </c>
      <c r="R129" s="33" t="str">
        <f aca="false">IF($A129&lt;&gt;"Seçildi","",IF(OR($D129="",$I129="",$M129=""),"",IF(SUMPRODUCT(($A$7:$A$456="Seçildi")*($D$7:$D$456=$D129)*($I$7:$I$456=$I129)*(ROW($A$7:$A$456)&lt;&gt;129)*($M$7:$M$456&lt;=$N129)*($N$7:$N$456&gt;=$M129))&gt;0,"⚠ Çakışma","OK")))</f>
        <v/>
      </c>
      <c r="S129" s="33"/>
      <c r="T129" s="33" t="str">
        <f aca="false">IF(OR($A129&lt;&gt;"Seçildi",AND($I129="",$J129="")),"",IF(OR($O129&lt;&gt;"",$P129="⚠ Çakışma",$Q129="⚠ Çakışma",$R129="⚠ Çakışma"),"⚠ Kontrol Et","✓ Uygun"))</f>
        <v/>
      </c>
    </row>
    <row r="130" customFormat="false" ht="13.5" hidden="false" customHeight="true" outlineLevel="0" collapsed="false">
      <c r="A130" s="37" t="str">
        <f aca="false">'1-Ders Havuzu'!K44</f>
        <v>Seçilmedi</v>
      </c>
      <c r="B130" s="37" t="str">
        <f aca="false">IF($A130="Seçildi",IF('1-Ders Havuzu'!C44="","",'1-Ders Havuzu'!C44),"")</f>
        <v/>
      </c>
      <c r="C130" s="38" t="str">
        <f aca="false">IF($A130="Seçildi",IF('1-Ders Havuzu'!D44="","",'1-Ders Havuzu'!D44),"")</f>
        <v/>
      </c>
      <c r="D130" s="37" t="str">
        <f aca="false">IF($A130="Seçildi",IF('1-Ders Havuzu'!B44="","",'1-Ders Havuzu'!B44),"")</f>
        <v/>
      </c>
      <c r="E130" s="37" t="str">
        <f aca="false">IF($A130="Seçildi",IF('1-Ders Havuzu'!A44="","",'1-Ders Havuzu'!A44),"")</f>
        <v/>
      </c>
      <c r="F130" s="37" t="str">
        <f aca="false">IF($A130="Seçildi",IF('1-Ders Havuzu'!H44="","",'1-Ders Havuzu'!H44),"")</f>
        <v/>
      </c>
      <c r="G130" s="37" t="str">
        <f aca="false">IF($A130="Seçildi",IF('2-Ders-Öğr.Elemanı Eşleştirme'!H44="","",'2-Ders-Öğr.Elemanı Eşleştirme'!H44),"")</f>
        <v/>
      </c>
      <c r="H130" s="39" t="n">
        <v>1</v>
      </c>
      <c r="I130" s="36"/>
      <c r="J130" s="36"/>
      <c r="K130" s="36"/>
      <c r="L130" s="36"/>
      <c r="M130" s="37" t="str">
        <f aca="false">IF($J130="","",MATCH($J130,{"08.00";"09.00";"10.00";"11.00";"12.00";"13.00";"14.00";"15.00";"16.00";"17.00"},0))</f>
        <v/>
      </c>
      <c r="N130" s="37" t="str">
        <f aca="false">IF(OR($M130="",$K130=""),"",$M130+$K130-1)</f>
        <v/>
      </c>
      <c r="O130" s="37" t="str">
        <f aca="false">IF($A130&lt;&gt;"Seçildi","",IF(OR($M130="",$N130=""),"",IF($N130&gt;10,"⚠ Saat Taşıyor","")))</f>
        <v/>
      </c>
      <c r="P130" s="37" t="str">
        <f aca="false">IF($A130&lt;&gt;"Seçildi","",IF(OR($G130="",$I130="",$M130=""),"",IF(SUMPRODUCT(($A$7:$A$456="Seçildi")*($G$7:$G$456=$G130)*($I$7:$I$456=$I130)*(ROW($A$7:$A$456)&lt;&gt;130)*($M$7:$M$456&lt;=$N130)*($N$7:$N$456&gt;=$M130))&gt;0,"⚠ Çakışma","OK")))</f>
        <v/>
      </c>
      <c r="Q130" s="37" t="str">
        <f aca="false">IF($A130&lt;&gt;"Seçildi","",IF(OR($L130="",$I130="",$M130=""),"",IF(SUMPRODUCT(($A$7:$A$456="Seçildi")*($L$7:$L$456=$L130)*($I$7:$I$456=$I130)*(ROW($A$7:$A$456)&lt;&gt;130)*($M$7:$M$456&lt;=$N130)*($N$7:$N$456&gt;=$M130))&gt;0,"⚠ Çakışma","OK")))</f>
        <v/>
      </c>
      <c r="R130" s="37" t="str">
        <f aca="false">IF($A130&lt;&gt;"Seçildi","",IF(OR($D130="",$I130="",$M130=""),"",IF(SUMPRODUCT(($A$7:$A$456="Seçildi")*($D$7:$D$456=$D130)*($I$7:$I$456=$I130)*(ROW($A$7:$A$456)&lt;&gt;130)*($M$7:$M$456&lt;=$N130)*($N$7:$N$456&gt;=$M130))&gt;0,"⚠ Çakışma","OK")))</f>
        <v/>
      </c>
      <c r="S130" s="37" t="str">
        <f aca="false">IF($A130&lt;&gt;"Seçildi","",IF(SUM($K130,$K131,$K132)&lt;&gt;$F130,"⚠ Dağılım: "&amp;SUM($K130:$K132)&amp;"/"&amp;$F130&amp;" saat","✓ Tamam"))</f>
        <v/>
      </c>
      <c r="T130" s="37" t="str">
        <f aca="false">IF($A130&lt;&gt;"Seçildi","",IF(OR($O130&lt;&gt;"",$P130="⚠ Çakışma",$Q130="⚠ Çakışma",$R130="⚠ Çakışma",LEFT($S130&amp;" ",1)="⚠"),"⚠ Kontrol Et","✓ Uygun"))</f>
        <v/>
      </c>
    </row>
    <row r="131" customFormat="false" ht="13.5" hidden="false" customHeight="true" outlineLevel="0" collapsed="false">
      <c r="A131" s="37" t="str">
        <f aca="false">'1-Ders Havuzu'!K44</f>
        <v>Seçilmedi</v>
      </c>
      <c r="B131" s="37" t="str">
        <f aca="false">IF($A131="Seçildi",IF('1-Ders Havuzu'!C44="","",'1-Ders Havuzu'!C44),"")</f>
        <v/>
      </c>
      <c r="C131" s="38" t="str">
        <f aca="false">IF($A131="Seçildi",IF('1-Ders Havuzu'!D44="","",'1-Ders Havuzu'!D44),"")</f>
        <v/>
      </c>
      <c r="D131" s="37" t="str">
        <f aca="false">IF($A131="Seçildi",IF('1-Ders Havuzu'!B44="","",'1-Ders Havuzu'!B44),"")</f>
        <v/>
      </c>
      <c r="E131" s="37" t="str">
        <f aca="false">IF($A131="Seçildi",IF('1-Ders Havuzu'!A44="","",'1-Ders Havuzu'!A44),"")</f>
        <v/>
      </c>
      <c r="F131" s="37" t="str">
        <f aca="false">IF($A131="Seçildi",IF('1-Ders Havuzu'!H44="","",'1-Ders Havuzu'!H44),"")</f>
        <v/>
      </c>
      <c r="G131" s="37" t="str">
        <f aca="false">IF($A131="Seçildi",IF('2-Ders-Öğr.Elemanı Eşleştirme'!H44="","",'2-Ders-Öğr.Elemanı Eşleştirme'!H44),"")</f>
        <v/>
      </c>
      <c r="H131" s="39" t="n">
        <v>2</v>
      </c>
      <c r="I131" s="36"/>
      <c r="J131" s="36"/>
      <c r="K131" s="36"/>
      <c r="L131" s="36"/>
      <c r="M131" s="37" t="str">
        <f aca="false">IF($J131="","",MATCH($J131,{"08.00";"09.00";"10.00";"11.00";"12.00";"13.00";"14.00";"15.00";"16.00";"17.00"},0))</f>
        <v/>
      </c>
      <c r="N131" s="37" t="str">
        <f aca="false">IF(OR($M131="",$K131=""),"",$M131+$K131-1)</f>
        <v/>
      </c>
      <c r="O131" s="37" t="str">
        <f aca="false">IF($A131&lt;&gt;"Seçildi","",IF(OR($M131="",$N131=""),"",IF($N131&gt;10,"⚠ Saat Taşıyor","")))</f>
        <v/>
      </c>
      <c r="P131" s="37" t="str">
        <f aca="false">IF($A131&lt;&gt;"Seçildi","",IF(OR($G131="",$I131="",$M131=""),"",IF(SUMPRODUCT(($A$7:$A$456="Seçildi")*($G$7:$G$456=$G131)*($I$7:$I$456=$I131)*(ROW($A$7:$A$456)&lt;&gt;131)*($M$7:$M$456&lt;=$N131)*($N$7:$N$456&gt;=$M131))&gt;0,"⚠ Çakışma","OK")))</f>
        <v/>
      </c>
      <c r="Q131" s="37" t="str">
        <f aca="false">IF($A131&lt;&gt;"Seçildi","",IF(OR($L131="",$I131="",$M131=""),"",IF(SUMPRODUCT(($A$7:$A$456="Seçildi")*($L$7:$L$456=$L131)*($I$7:$I$456=$I131)*(ROW($A$7:$A$456)&lt;&gt;131)*($M$7:$M$456&lt;=$N131)*($N$7:$N$456&gt;=$M131))&gt;0,"⚠ Çakışma","OK")))</f>
        <v/>
      </c>
      <c r="R131" s="37" t="str">
        <f aca="false">IF($A131&lt;&gt;"Seçildi","",IF(OR($D131="",$I131="",$M131=""),"",IF(SUMPRODUCT(($A$7:$A$456="Seçildi")*($D$7:$D$456=$D131)*($I$7:$I$456=$I131)*(ROW($A$7:$A$456)&lt;&gt;131)*($M$7:$M$456&lt;=$N131)*($N$7:$N$456&gt;=$M131))&gt;0,"⚠ Çakışma","OK")))</f>
        <v/>
      </c>
      <c r="S131" s="37"/>
      <c r="T131" s="37" t="str">
        <f aca="false">IF(OR($A131&lt;&gt;"Seçildi",AND($I131="",$J131="")),"",IF(OR($O131&lt;&gt;"",$P131="⚠ Çakışma",$Q131="⚠ Çakışma",$R131="⚠ Çakışma"),"⚠ Kontrol Et","✓ Uygun"))</f>
        <v/>
      </c>
    </row>
    <row r="132" customFormat="false" ht="13.5" hidden="false" customHeight="true" outlineLevel="0" collapsed="false">
      <c r="A132" s="37" t="str">
        <f aca="false">'1-Ders Havuzu'!K44</f>
        <v>Seçilmedi</v>
      </c>
      <c r="B132" s="37" t="str">
        <f aca="false">IF($A132="Seçildi",IF('1-Ders Havuzu'!C44="","",'1-Ders Havuzu'!C44),"")</f>
        <v/>
      </c>
      <c r="C132" s="38" t="str">
        <f aca="false">IF($A132="Seçildi",IF('1-Ders Havuzu'!D44="","",'1-Ders Havuzu'!D44),"")</f>
        <v/>
      </c>
      <c r="D132" s="37" t="str">
        <f aca="false">IF($A132="Seçildi",IF('1-Ders Havuzu'!B44="","",'1-Ders Havuzu'!B44),"")</f>
        <v/>
      </c>
      <c r="E132" s="37" t="str">
        <f aca="false">IF($A132="Seçildi",IF('1-Ders Havuzu'!A44="","",'1-Ders Havuzu'!A44),"")</f>
        <v/>
      </c>
      <c r="F132" s="37" t="str">
        <f aca="false">IF($A132="Seçildi",IF('1-Ders Havuzu'!H44="","",'1-Ders Havuzu'!H44),"")</f>
        <v/>
      </c>
      <c r="G132" s="37" t="str">
        <f aca="false">IF($A132="Seçildi",IF('2-Ders-Öğr.Elemanı Eşleştirme'!H44="","",'2-Ders-Öğr.Elemanı Eşleştirme'!H44),"")</f>
        <v/>
      </c>
      <c r="H132" s="39" t="n">
        <v>3</v>
      </c>
      <c r="I132" s="36"/>
      <c r="J132" s="36"/>
      <c r="K132" s="36"/>
      <c r="L132" s="36"/>
      <c r="M132" s="37" t="str">
        <f aca="false">IF($J132="","",MATCH($J132,{"08.00";"09.00";"10.00";"11.00";"12.00";"13.00";"14.00";"15.00";"16.00";"17.00"},0))</f>
        <v/>
      </c>
      <c r="N132" s="37" t="str">
        <f aca="false">IF(OR($M132="",$K132=""),"",$M132+$K132-1)</f>
        <v/>
      </c>
      <c r="O132" s="37" t="str">
        <f aca="false">IF($A132&lt;&gt;"Seçildi","",IF(OR($M132="",$N132=""),"",IF($N132&gt;10,"⚠ Saat Taşıyor","")))</f>
        <v/>
      </c>
      <c r="P132" s="37" t="str">
        <f aca="false">IF($A132&lt;&gt;"Seçildi","",IF(OR($G132="",$I132="",$M132=""),"",IF(SUMPRODUCT(($A$7:$A$456="Seçildi")*($G$7:$G$456=$G132)*($I$7:$I$456=$I132)*(ROW($A$7:$A$456)&lt;&gt;132)*($M$7:$M$456&lt;=$N132)*($N$7:$N$456&gt;=$M132))&gt;0,"⚠ Çakışma","OK")))</f>
        <v/>
      </c>
      <c r="Q132" s="37" t="str">
        <f aca="false">IF($A132&lt;&gt;"Seçildi","",IF(OR($L132="",$I132="",$M132=""),"",IF(SUMPRODUCT(($A$7:$A$456="Seçildi")*($L$7:$L$456=$L132)*($I$7:$I$456=$I132)*(ROW($A$7:$A$456)&lt;&gt;132)*($M$7:$M$456&lt;=$N132)*($N$7:$N$456&gt;=$M132))&gt;0,"⚠ Çakışma","OK")))</f>
        <v/>
      </c>
      <c r="R132" s="37" t="str">
        <f aca="false">IF($A132&lt;&gt;"Seçildi","",IF(OR($D132="",$I132="",$M132=""),"",IF(SUMPRODUCT(($A$7:$A$456="Seçildi")*($D$7:$D$456=$D132)*($I$7:$I$456=$I132)*(ROW($A$7:$A$456)&lt;&gt;132)*($M$7:$M$456&lt;=$N132)*($N$7:$N$456&gt;=$M132))&gt;0,"⚠ Çakışma","OK")))</f>
        <v/>
      </c>
      <c r="S132" s="37"/>
      <c r="T132" s="37" t="str">
        <f aca="false">IF(OR($A132&lt;&gt;"Seçildi",AND($I132="",$J132="")),"",IF(OR($O132&lt;&gt;"",$P132="⚠ Çakışma",$Q132="⚠ Çakışma",$R132="⚠ Çakışma"),"⚠ Kontrol Et","✓ Uygun"))</f>
        <v/>
      </c>
    </row>
    <row r="133" customFormat="false" ht="13.5" hidden="false" customHeight="true" outlineLevel="0" collapsed="false">
      <c r="A133" s="33" t="str">
        <f aca="false">'1-Ders Havuzu'!K45</f>
        <v>Seçilmedi</v>
      </c>
      <c r="B133" s="33" t="str">
        <f aca="false">IF($A133="Seçildi",IF('1-Ders Havuzu'!C45="","",'1-Ders Havuzu'!C45),"")</f>
        <v/>
      </c>
      <c r="C133" s="34" t="str">
        <f aca="false">IF($A133="Seçildi",IF('1-Ders Havuzu'!D45="","",'1-Ders Havuzu'!D45),"")</f>
        <v/>
      </c>
      <c r="D133" s="33" t="str">
        <f aca="false">IF($A133="Seçildi",IF('1-Ders Havuzu'!B45="","",'1-Ders Havuzu'!B45),"")</f>
        <v/>
      </c>
      <c r="E133" s="33" t="str">
        <f aca="false">IF($A133="Seçildi",IF('1-Ders Havuzu'!A45="","",'1-Ders Havuzu'!A45),"")</f>
        <v/>
      </c>
      <c r="F133" s="33" t="str">
        <f aca="false">IF($A133="Seçildi",IF('1-Ders Havuzu'!H45="","",'1-Ders Havuzu'!H45),"")</f>
        <v/>
      </c>
      <c r="G133" s="33" t="str">
        <f aca="false">IF($A133="Seçildi",IF('2-Ders-Öğr.Elemanı Eşleştirme'!H45="","",'2-Ders-Öğr.Elemanı Eşleştirme'!H45),"")</f>
        <v/>
      </c>
      <c r="H133" s="35" t="n">
        <v>1</v>
      </c>
      <c r="I133" s="36"/>
      <c r="J133" s="36"/>
      <c r="K133" s="36"/>
      <c r="L133" s="36"/>
      <c r="M133" s="33" t="str">
        <f aca="false">IF($J133="","",MATCH($J133,{"08.00";"09.00";"10.00";"11.00";"12.00";"13.00";"14.00";"15.00";"16.00";"17.00"},0))</f>
        <v/>
      </c>
      <c r="N133" s="33" t="str">
        <f aca="false">IF(OR($M133="",$K133=""),"",$M133+$K133-1)</f>
        <v/>
      </c>
      <c r="O133" s="33" t="str">
        <f aca="false">IF($A133&lt;&gt;"Seçildi","",IF(OR($M133="",$N133=""),"",IF($N133&gt;10,"⚠ Saat Taşıyor","")))</f>
        <v/>
      </c>
      <c r="P133" s="33" t="str">
        <f aca="false">IF($A133&lt;&gt;"Seçildi","",IF(OR($G133="",$I133="",$M133=""),"",IF(SUMPRODUCT(($A$7:$A$456="Seçildi")*($G$7:$G$456=$G133)*($I$7:$I$456=$I133)*(ROW($A$7:$A$456)&lt;&gt;133)*($M$7:$M$456&lt;=$N133)*($N$7:$N$456&gt;=$M133))&gt;0,"⚠ Çakışma","OK")))</f>
        <v/>
      </c>
      <c r="Q133" s="33" t="str">
        <f aca="false">IF($A133&lt;&gt;"Seçildi","",IF(OR($L133="",$I133="",$M133=""),"",IF(SUMPRODUCT(($A$7:$A$456="Seçildi")*($L$7:$L$456=$L133)*($I$7:$I$456=$I133)*(ROW($A$7:$A$456)&lt;&gt;133)*($M$7:$M$456&lt;=$N133)*($N$7:$N$456&gt;=$M133))&gt;0,"⚠ Çakışma","OK")))</f>
        <v/>
      </c>
      <c r="R133" s="33" t="str">
        <f aca="false">IF($A133&lt;&gt;"Seçildi","",IF(OR($D133="",$I133="",$M133=""),"",IF(SUMPRODUCT(($A$7:$A$456="Seçildi")*($D$7:$D$456=$D133)*($I$7:$I$456=$I133)*(ROW($A$7:$A$456)&lt;&gt;133)*($M$7:$M$456&lt;=$N133)*($N$7:$N$456&gt;=$M133))&gt;0,"⚠ Çakışma","OK")))</f>
        <v/>
      </c>
      <c r="S133" s="33" t="str">
        <f aca="false">IF($A133&lt;&gt;"Seçildi","",IF(SUM($K133,$K134,$K135)&lt;&gt;$F133,"⚠ Dağılım: "&amp;SUM($K133:$K135)&amp;"/"&amp;$F133&amp;" saat","✓ Tamam"))</f>
        <v/>
      </c>
      <c r="T133" s="33" t="str">
        <f aca="false">IF($A133&lt;&gt;"Seçildi","",IF(OR($O133&lt;&gt;"",$P133="⚠ Çakışma",$Q133="⚠ Çakışma",$R133="⚠ Çakışma",LEFT($S133&amp;" ",1)="⚠"),"⚠ Kontrol Et","✓ Uygun"))</f>
        <v/>
      </c>
    </row>
    <row r="134" customFormat="false" ht="13.5" hidden="false" customHeight="true" outlineLevel="0" collapsed="false">
      <c r="A134" s="33" t="str">
        <f aca="false">'1-Ders Havuzu'!K45</f>
        <v>Seçilmedi</v>
      </c>
      <c r="B134" s="33" t="str">
        <f aca="false">IF($A134="Seçildi",IF('1-Ders Havuzu'!C45="","",'1-Ders Havuzu'!C45),"")</f>
        <v/>
      </c>
      <c r="C134" s="34" t="str">
        <f aca="false">IF($A134="Seçildi",IF('1-Ders Havuzu'!D45="","",'1-Ders Havuzu'!D45),"")</f>
        <v/>
      </c>
      <c r="D134" s="33" t="str">
        <f aca="false">IF($A134="Seçildi",IF('1-Ders Havuzu'!B45="","",'1-Ders Havuzu'!B45),"")</f>
        <v/>
      </c>
      <c r="E134" s="33" t="str">
        <f aca="false">IF($A134="Seçildi",IF('1-Ders Havuzu'!A45="","",'1-Ders Havuzu'!A45),"")</f>
        <v/>
      </c>
      <c r="F134" s="33" t="str">
        <f aca="false">IF($A134="Seçildi",IF('1-Ders Havuzu'!H45="","",'1-Ders Havuzu'!H45),"")</f>
        <v/>
      </c>
      <c r="G134" s="33" t="str">
        <f aca="false">IF($A134="Seçildi",IF('2-Ders-Öğr.Elemanı Eşleştirme'!H45="","",'2-Ders-Öğr.Elemanı Eşleştirme'!H45),"")</f>
        <v/>
      </c>
      <c r="H134" s="35" t="n">
        <v>2</v>
      </c>
      <c r="I134" s="36"/>
      <c r="J134" s="36"/>
      <c r="K134" s="36"/>
      <c r="L134" s="36"/>
      <c r="M134" s="33" t="str">
        <f aca="false">IF($J134="","",MATCH($J134,{"08.00";"09.00";"10.00";"11.00";"12.00";"13.00";"14.00";"15.00";"16.00";"17.00"},0))</f>
        <v/>
      </c>
      <c r="N134" s="33" t="str">
        <f aca="false">IF(OR($M134="",$K134=""),"",$M134+$K134-1)</f>
        <v/>
      </c>
      <c r="O134" s="33" t="str">
        <f aca="false">IF($A134&lt;&gt;"Seçildi","",IF(OR($M134="",$N134=""),"",IF($N134&gt;10,"⚠ Saat Taşıyor","")))</f>
        <v/>
      </c>
      <c r="P134" s="33" t="str">
        <f aca="false">IF($A134&lt;&gt;"Seçildi","",IF(OR($G134="",$I134="",$M134=""),"",IF(SUMPRODUCT(($A$7:$A$456="Seçildi")*($G$7:$G$456=$G134)*($I$7:$I$456=$I134)*(ROW($A$7:$A$456)&lt;&gt;134)*($M$7:$M$456&lt;=$N134)*($N$7:$N$456&gt;=$M134))&gt;0,"⚠ Çakışma","OK")))</f>
        <v/>
      </c>
      <c r="Q134" s="33" t="str">
        <f aca="false">IF($A134&lt;&gt;"Seçildi","",IF(OR($L134="",$I134="",$M134=""),"",IF(SUMPRODUCT(($A$7:$A$456="Seçildi")*($L$7:$L$456=$L134)*($I$7:$I$456=$I134)*(ROW($A$7:$A$456)&lt;&gt;134)*($M$7:$M$456&lt;=$N134)*($N$7:$N$456&gt;=$M134))&gt;0,"⚠ Çakışma","OK")))</f>
        <v/>
      </c>
      <c r="R134" s="33" t="str">
        <f aca="false">IF($A134&lt;&gt;"Seçildi","",IF(OR($D134="",$I134="",$M134=""),"",IF(SUMPRODUCT(($A$7:$A$456="Seçildi")*($D$7:$D$456=$D134)*($I$7:$I$456=$I134)*(ROW($A$7:$A$456)&lt;&gt;134)*($M$7:$M$456&lt;=$N134)*($N$7:$N$456&gt;=$M134))&gt;0,"⚠ Çakışma","OK")))</f>
        <v/>
      </c>
      <c r="S134" s="33"/>
      <c r="T134" s="33" t="str">
        <f aca="false">IF(OR($A134&lt;&gt;"Seçildi",AND($I134="",$J134="")),"",IF(OR($O134&lt;&gt;"",$P134="⚠ Çakışma",$Q134="⚠ Çakışma",$R134="⚠ Çakışma"),"⚠ Kontrol Et","✓ Uygun"))</f>
        <v/>
      </c>
    </row>
    <row r="135" customFormat="false" ht="13.5" hidden="false" customHeight="true" outlineLevel="0" collapsed="false">
      <c r="A135" s="33" t="str">
        <f aca="false">'1-Ders Havuzu'!K45</f>
        <v>Seçilmedi</v>
      </c>
      <c r="B135" s="33" t="str">
        <f aca="false">IF($A135="Seçildi",IF('1-Ders Havuzu'!C45="","",'1-Ders Havuzu'!C45),"")</f>
        <v/>
      </c>
      <c r="C135" s="34" t="str">
        <f aca="false">IF($A135="Seçildi",IF('1-Ders Havuzu'!D45="","",'1-Ders Havuzu'!D45),"")</f>
        <v/>
      </c>
      <c r="D135" s="33" t="str">
        <f aca="false">IF($A135="Seçildi",IF('1-Ders Havuzu'!B45="","",'1-Ders Havuzu'!B45),"")</f>
        <v/>
      </c>
      <c r="E135" s="33" t="str">
        <f aca="false">IF($A135="Seçildi",IF('1-Ders Havuzu'!A45="","",'1-Ders Havuzu'!A45),"")</f>
        <v/>
      </c>
      <c r="F135" s="33" t="str">
        <f aca="false">IF($A135="Seçildi",IF('1-Ders Havuzu'!H45="","",'1-Ders Havuzu'!H45),"")</f>
        <v/>
      </c>
      <c r="G135" s="33" t="str">
        <f aca="false">IF($A135="Seçildi",IF('2-Ders-Öğr.Elemanı Eşleştirme'!H45="","",'2-Ders-Öğr.Elemanı Eşleştirme'!H45),"")</f>
        <v/>
      </c>
      <c r="H135" s="35" t="n">
        <v>3</v>
      </c>
      <c r="I135" s="36"/>
      <c r="J135" s="36"/>
      <c r="K135" s="36"/>
      <c r="L135" s="36"/>
      <c r="M135" s="33" t="str">
        <f aca="false">IF($J135="","",MATCH($J135,{"08.00";"09.00";"10.00";"11.00";"12.00";"13.00";"14.00";"15.00";"16.00";"17.00"},0))</f>
        <v/>
      </c>
      <c r="N135" s="33" t="str">
        <f aca="false">IF(OR($M135="",$K135=""),"",$M135+$K135-1)</f>
        <v/>
      </c>
      <c r="O135" s="33" t="str">
        <f aca="false">IF($A135&lt;&gt;"Seçildi","",IF(OR($M135="",$N135=""),"",IF($N135&gt;10,"⚠ Saat Taşıyor","")))</f>
        <v/>
      </c>
      <c r="P135" s="33" t="str">
        <f aca="false">IF($A135&lt;&gt;"Seçildi","",IF(OR($G135="",$I135="",$M135=""),"",IF(SUMPRODUCT(($A$7:$A$456="Seçildi")*($G$7:$G$456=$G135)*($I$7:$I$456=$I135)*(ROW($A$7:$A$456)&lt;&gt;135)*($M$7:$M$456&lt;=$N135)*($N$7:$N$456&gt;=$M135))&gt;0,"⚠ Çakışma","OK")))</f>
        <v/>
      </c>
      <c r="Q135" s="33" t="str">
        <f aca="false">IF($A135&lt;&gt;"Seçildi","",IF(OR($L135="",$I135="",$M135=""),"",IF(SUMPRODUCT(($A$7:$A$456="Seçildi")*($L$7:$L$456=$L135)*($I$7:$I$456=$I135)*(ROW($A$7:$A$456)&lt;&gt;135)*($M$7:$M$456&lt;=$N135)*($N$7:$N$456&gt;=$M135))&gt;0,"⚠ Çakışma","OK")))</f>
        <v/>
      </c>
      <c r="R135" s="33" t="str">
        <f aca="false">IF($A135&lt;&gt;"Seçildi","",IF(OR($D135="",$I135="",$M135=""),"",IF(SUMPRODUCT(($A$7:$A$456="Seçildi")*($D$7:$D$456=$D135)*($I$7:$I$456=$I135)*(ROW($A$7:$A$456)&lt;&gt;135)*($M$7:$M$456&lt;=$N135)*($N$7:$N$456&gt;=$M135))&gt;0,"⚠ Çakışma","OK")))</f>
        <v/>
      </c>
      <c r="S135" s="33"/>
      <c r="T135" s="33" t="str">
        <f aca="false">IF(OR($A135&lt;&gt;"Seçildi",AND($I135="",$J135="")),"",IF(OR($O135&lt;&gt;"",$P135="⚠ Çakışma",$Q135="⚠ Çakışma",$R135="⚠ Çakışma"),"⚠ Kontrol Et","✓ Uygun"))</f>
        <v/>
      </c>
    </row>
    <row r="136" customFormat="false" ht="13.5" hidden="false" customHeight="true" outlineLevel="0" collapsed="false">
      <c r="A136" s="37" t="str">
        <f aca="false">'1-Ders Havuzu'!K46</f>
        <v>Seçilmedi</v>
      </c>
      <c r="B136" s="37" t="str">
        <f aca="false">IF($A136="Seçildi",IF('1-Ders Havuzu'!C46="","",'1-Ders Havuzu'!C46),"")</f>
        <v/>
      </c>
      <c r="C136" s="38" t="str">
        <f aca="false">IF($A136="Seçildi",IF('1-Ders Havuzu'!D46="","",'1-Ders Havuzu'!D46),"")</f>
        <v/>
      </c>
      <c r="D136" s="37" t="str">
        <f aca="false">IF($A136="Seçildi",IF('1-Ders Havuzu'!B46="","",'1-Ders Havuzu'!B46),"")</f>
        <v/>
      </c>
      <c r="E136" s="37" t="str">
        <f aca="false">IF($A136="Seçildi",IF('1-Ders Havuzu'!A46="","",'1-Ders Havuzu'!A46),"")</f>
        <v/>
      </c>
      <c r="F136" s="37" t="str">
        <f aca="false">IF($A136="Seçildi",IF('1-Ders Havuzu'!H46="","",'1-Ders Havuzu'!H46),"")</f>
        <v/>
      </c>
      <c r="G136" s="37" t="str">
        <f aca="false">IF($A136="Seçildi",IF('2-Ders-Öğr.Elemanı Eşleştirme'!H46="","",'2-Ders-Öğr.Elemanı Eşleştirme'!H46),"")</f>
        <v/>
      </c>
      <c r="H136" s="39" t="n">
        <v>1</v>
      </c>
      <c r="I136" s="36"/>
      <c r="J136" s="36"/>
      <c r="K136" s="36"/>
      <c r="L136" s="36"/>
      <c r="M136" s="37" t="str">
        <f aca="false">IF($J136="","",MATCH($J136,{"08.00";"09.00";"10.00";"11.00";"12.00";"13.00";"14.00";"15.00";"16.00";"17.00"},0))</f>
        <v/>
      </c>
      <c r="N136" s="37" t="str">
        <f aca="false">IF(OR($M136="",$K136=""),"",$M136+$K136-1)</f>
        <v/>
      </c>
      <c r="O136" s="37" t="str">
        <f aca="false">IF($A136&lt;&gt;"Seçildi","",IF(OR($M136="",$N136=""),"",IF($N136&gt;10,"⚠ Saat Taşıyor","")))</f>
        <v/>
      </c>
      <c r="P136" s="37" t="str">
        <f aca="false">IF($A136&lt;&gt;"Seçildi","",IF(OR($G136="",$I136="",$M136=""),"",IF(SUMPRODUCT(($A$7:$A$456="Seçildi")*($G$7:$G$456=$G136)*($I$7:$I$456=$I136)*(ROW($A$7:$A$456)&lt;&gt;136)*($M$7:$M$456&lt;=$N136)*($N$7:$N$456&gt;=$M136))&gt;0,"⚠ Çakışma","OK")))</f>
        <v/>
      </c>
      <c r="Q136" s="37" t="str">
        <f aca="false">IF($A136&lt;&gt;"Seçildi","",IF(OR($L136="",$I136="",$M136=""),"",IF(SUMPRODUCT(($A$7:$A$456="Seçildi")*($L$7:$L$456=$L136)*($I$7:$I$456=$I136)*(ROW($A$7:$A$456)&lt;&gt;136)*($M$7:$M$456&lt;=$N136)*($N$7:$N$456&gt;=$M136))&gt;0,"⚠ Çakışma","OK")))</f>
        <v/>
      </c>
      <c r="R136" s="37" t="str">
        <f aca="false">IF($A136&lt;&gt;"Seçildi","",IF(OR($D136="",$I136="",$M136=""),"",IF(SUMPRODUCT(($A$7:$A$456="Seçildi")*($D$7:$D$456=$D136)*($I$7:$I$456=$I136)*(ROW($A$7:$A$456)&lt;&gt;136)*($M$7:$M$456&lt;=$N136)*($N$7:$N$456&gt;=$M136))&gt;0,"⚠ Çakışma","OK")))</f>
        <v/>
      </c>
      <c r="S136" s="37" t="str">
        <f aca="false">IF($A136&lt;&gt;"Seçildi","",IF(SUM($K136,$K137,$K138)&lt;&gt;$F136,"⚠ Dağılım: "&amp;SUM($K136:$K138)&amp;"/"&amp;$F136&amp;" saat","✓ Tamam"))</f>
        <v/>
      </c>
      <c r="T136" s="37" t="str">
        <f aca="false">IF($A136&lt;&gt;"Seçildi","",IF(OR($O136&lt;&gt;"",$P136="⚠ Çakışma",$Q136="⚠ Çakışma",$R136="⚠ Çakışma",LEFT($S136&amp;" ",1)="⚠"),"⚠ Kontrol Et","✓ Uygun"))</f>
        <v/>
      </c>
    </row>
    <row r="137" customFormat="false" ht="13.5" hidden="false" customHeight="true" outlineLevel="0" collapsed="false">
      <c r="A137" s="37" t="str">
        <f aca="false">'1-Ders Havuzu'!K46</f>
        <v>Seçilmedi</v>
      </c>
      <c r="B137" s="37" t="str">
        <f aca="false">IF($A137="Seçildi",IF('1-Ders Havuzu'!C46="","",'1-Ders Havuzu'!C46),"")</f>
        <v/>
      </c>
      <c r="C137" s="38" t="str">
        <f aca="false">IF($A137="Seçildi",IF('1-Ders Havuzu'!D46="","",'1-Ders Havuzu'!D46),"")</f>
        <v/>
      </c>
      <c r="D137" s="37" t="str">
        <f aca="false">IF($A137="Seçildi",IF('1-Ders Havuzu'!B46="","",'1-Ders Havuzu'!B46),"")</f>
        <v/>
      </c>
      <c r="E137" s="37" t="str">
        <f aca="false">IF($A137="Seçildi",IF('1-Ders Havuzu'!A46="","",'1-Ders Havuzu'!A46),"")</f>
        <v/>
      </c>
      <c r="F137" s="37" t="str">
        <f aca="false">IF($A137="Seçildi",IF('1-Ders Havuzu'!H46="","",'1-Ders Havuzu'!H46),"")</f>
        <v/>
      </c>
      <c r="G137" s="37" t="str">
        <f aca="false">IF($A137="Seçildi",IF('2-Ders-Öğr.Elemanı Eşleştirme'!H46="","",'2-Ders-Öğr.Elemanı Eşleştirme'!H46),"")</f>
        <v/>
      </c>
      <c r="H137" s="39" t="n">
        <v>2</v>
      </c>
      <c r="I137" s="36"/>
      <c r="J137" s="36"/>
      <c r="K137" s="36"/>
      <c r="L137" s="36"/>
      <c r="M137" s="37" t="str">
        <f aca="false">IF($J137="","",MATCH($J137,{"08.00";"09.00";"10.00";"11.00";"12.00";"13.00";"14.00";"15.00";"16.00";"17.00"},0))</f>
        <v/>
      </c>
      <c r="N137" s="37" t="str">
        <f aca="false">IF(OR($M137="",$K137=""),"",$M137+$K137-1)</f>
        <v/>
      </c>
      <c r="O137" s="37" t="str">
        <f aca="false">IF($A137&lt;&gt;"Seçildi","",IF(OR($M137="",$N137=""),"",IF($N137&gt;10,"⚠ Saat Taşıyor","")))</f>
        <v/>
      </c>
      <c r="P137" s="37" t="str">
        <f aca="false">IF($A137&lt;&gt;"Seçildi","",IF(OR($G137="",$I137="",$M137=""),"",IF(SUMPRODUCT(($A$7:$A$456="Seçildi")*($G$7:$G$456=$G137)*($I$7:$I$456=$I137)*(ROW($A$7:$A$456)&lt;&gt;137)*($M$7:$M$456&lt;=$N137)*($N$7:$N$456&gt;=$M137))&gt;0,"⚠ Çakışma","OK")))</f>
        <v/>
      </c>
      <c r="Q137" s="37" t="str">
        <f aca="false">IF($A137&lt;&gt;"Seçildi","",IF(OR($L137="",$I137="",$M137=""),"",IF(SUMPRODUCT(($A$7:$A$456="Seçildi")*($L$7:$L$456=$L137)*($I$7:$I$456=$I137)*(ROW($A$7:$A$456)&lt;&gt;137)*($M$7:$M$456&lt;=$N137)*($N$7:$N$456&gt;=$M137))&gt;0,"⚠ Çakışma","OK")))</f>
        <v/>
      </c>
      <c r="R137" s="37" t="str">
        <f aca="false">IF($A137&lt;&gt;"Seçildi","",IF(OR($D137="",$I137="",$M137=""),"",IF(SUMPRODUCT(($A$7:$A$456="Seçildi")*($D$7:$D$456=$D137)*($I$7:$I$456=$I137)*(ROW($A$7:$A$456)&lt;&gt;137)*($M$7:$M$456&lt;=$N137)*($N$7:$N$456&gt;=$M137))&gt;0,"⚠ Çakışma","OK")))</f>
        <v/>
      </c>
      <c r="S137" s="37"/>
      <c r="T137" s="37" t="str">
        <f aca="false">IF(OR($A137&lt;&gt;"Seçildi",AND($I137="",$J137="")),"",IF(OR($O137&lt;&gt;"",$P137="⚠ Çakışma",$Q137="⚠ Çakışma",$R137="⚠ Çakışma"),"⚠ Kontrol Et","✓ Uygun"))</f>
        <v/>
      </c>
    </row>
    <row r="138" customFormat="false" ht="13.5" hidden="false" customHeight="true" outlineLevel="0" collapsed="false">
      <c r="A138" s="37" t="str">
        <f aca="false">'1-Ders Havuzu'!K46</f>
        <v>Seçilmedi</v>
      </c>
      <c r="B138" s="37" t="str">
        <f aca="false">IF($A138="Seçildi",IF('1-Ders Havuzu'!C46="","",'1-Ders Havuzu'!C46),"")</f>
        <v/>
      </c>
      <c r="C138" s="38" t="str">
        <f aca="false">IF($A138="Seçildi",IF('1-Ders Havuzu'!D46="","",'1-Ders Havuzu'!D46),"")</f>
        <v/>
      </c>
      <c r="D138" s="37" t="str">
        <f aca="false">IF($A138="Seçildi",IF('1-Ders Havuzu'!B46="","",'1-Ders Havuzu'!B46),"")</f>
        <v/>
      </c>
      <c r="E138" s="37" t="str">
        <f aca="false">IF($A138="Seçildi",IF('1-Ders Havuzu'!A46="","",'1-Ders Havuzu'!A46),"")</f>
        <v/>
      </c>
      <c r="F138" s="37" t="str">
        <f aca="false">IF($A138="Seçildi",IF('1-Ders Havuzu'!H46="","",'1-Ders Havuzu'!H46),"")</f>
        <v/>
      </c>
      <c r="G138" s="37" t="str">
        <f aca="false">IF($A138="Seçildi",IF('2-Ders-Öğr.Elemanı Eşleştirme'!H46="","",'2-Ders-Öğr.Elemanı Eşleştirme'!H46),"")</f>
        <v/>
      </c>
      <c r="H138" s="39" t="n">
        <v>3</v>
      </c>
      <c r="I138" s="36"/>
      <c r="J138" s="36"/>
      <c r="K138" s="36"/>
      <c r="L138" s="36"/>
      <c r="M138" s="37" t="str">
        <f aca="false">IF($J138="","",MATCH($J138,{"08.00";"09.00";"10.00";"11.00";"12.00";"13.00";"14.00";"15.00";"16.00";"17.00"},0))</f>
        <v/>
      </c>
      <c r="N138" s="37" t="str">
        <f aca="false">IF(OR($M138="",$K138=""),"",$M138+$K138-1)</f>
        <v/>
      </c>
      <c r="O138" s="37" t="str">
        <f aca="false">IF($A138&lt;&gt;"Seçildi","",IF(OR($M138="",$N138=""),"",IF($N138&gt;10,"⚠ Saat Taşıyor","")))</f>
        <v/>
      </c>
      <c r="P138" s="37" t="str">
        <f aca="false">IF($A138&lt;&gt;"Seçildi","",IF(OR($G138="",$I138="",$M138=""),"",IF(SUMPRODUCT(($A$7:$A$456="Seçildi")*($G$7:$G$456=$G138)*($I$7:$I$456=$I138)*(ROW($A$7:$A$456)&lt;&gt;138)*($M$7:$M$456&lt;=$N138)*($N$7:$N$456&gt;=$M138))&gt;0,"⚠ Çakışma","OK")))</f>
        <v/>
      </c>
      <c r="Q138" s="37" t="str">
        <f aca="false">IF($A138&lt;&gt;"Seçildi","",IF(OR($L138="",$I138="",$M138=""),"",IF(SUMPRODUCT(($A$7:$A$456="Seçildi")*($L$7:$L$456=$L138)*($I$7:$I$456=$I138)*(ROW($A$7:$A$456)&lt;&gt;138)*($M$7:$M$456&lt;=$N138)*($N$7:$N$456&gt;=$M138))&gt;0,"⚠ Çakışma","OK")))</f>
        <v/>
      </c>
      <c r="R138" s="37" t="str">
        <f aca="false">IF($A138&lt;&gt;"Seçildi","",IF(OR($D138="",$I138="",$M138=""),"",IF(SUMPRODUCT(($A$7:$A$456="Seçildi")*($D$7:$D$456=$D138)*($I$7:$I$456=$I138)*(ROW($A$7:$A$456)&lt;&gt;138)*($M$7:$M$456&lt;=$N138)*($N$7:$N$456&gt;=$M138))&gt;0,"⚠ Çakışma","OK")))</f>
        <v/>
      </c>
      <c r="S138" s="37"/>
      <c r="T138" s="37" t="str">
        <f aca="false">IF(OR($A138&lt;&gt;"Seçildi",AND($I138="",$J138="")),"",IF(OR($O138&lt;&gt;"",$P138="⚠ Çakışma",$Q138="⚠ Çakışma",$R138="⚠ Çakışma"),"⚠ Kontrol Et","✓ Uygun"))</f>
        <v/>
      </c>
    </row>
    <row r="139" customFormat="false" ht="13.5" hidden="false" customHeight="true" outlineLevel="0" collapsed="false">
      <c r="A139" s="33" t="str">
        <f aca="false">'1-Ders Havuzu'!K47</f>
        <v>Seçilmedi</v>
      </c>
      <c r="B139" s="33" t="str">
        <f aca="false">IF($A139="Seçildi",IF('1-Ders Havuzu'!C47="","",'1-Ders Havuzu'!C47),"")</f>
        <v/>
      </c>
      <c r="C139" s="34" t="str">
        <f aca="false">IF($A139="Seçildi",IF('1-Ders Havuzu'!D47="","",'1-Ders Havuzu'!D47),"")</f>
        <v/>
      </c>
      <c r="D139" s="33" t="str">
        <f aca="false">IF($A139="Seçildi",IF('1-Ders Havuzu'!B47="","",'1-Ders Havuzu'!B47),"")</f>
        <v/>
      </c>
      <c r="E139" s="33" t="str">
        <f aca="false">IF($A139="Seçildi",IF('1-Ders Havuzu'!A47="","",'1-Ders Havuzu'!A47),"")</f>
        <v/>
      </c>
      <c r="F139" s="33" t="str">
        <f aca="false">IF($A139="Seçildi",IF('1-Ders Havuzu'!H47="","",'1-Ders Havuzu'!H47),"")</f>
        <v/>
      </c>
      <c r="G139" s="33" t="str">
        <f aca="false">IF($A139="Seçildi",IF('2-Ders-Öğr.Elemanı Eşleştirme'!H47="","",'2-Ders-Öğr.Elemanı Eşleştirme'!H47),"")</f>
        <v/>
      </c>
      <c r="H139" s="35" t="n">
        <v>1</v>
      </c>
      <c r="I139" s="36"/>
      <c r="J139" s="36"/>
      <c r="K139" s="36"/>
      <c r="L139" s="36"/>
      <c r="M139" s="33" t="str">
        <f aca="false">IF($J139="","",MATCH($J139,{"08.00";"09.00";"10.00";"11.00";"12.00";"13.00";"14.00";"15.00";"16.00";"17.00"},0))</f>
        <v/>
      </c>
      <c r="N139" s="33" t="str">
        <f aca="false">IF(OR($M139="",$K139=""),"",$M139+$K139-1)</f>
        <v/>
      </c>
      <c r="O139" s="33" t="str">
        <f aca="false">IF($A139&lt;&gt;"Seçildi","",IF(OR($M139="",$N139=""),"",IF($N139&gt;10,"⚠ Saat Taşıyor","")))</f>
        <v/>
      </c>
      <c r="P139" s="33" t="str">
        <f aca="false">IF($A139&lt;&gt;"Seçildi","",IF(OR($G139="",$I139="",$M139=""),"",IF(SUMPRODUCT(($A$7:$A$456="Seçildi")*($G$7:$G$456=$G139)*($I$7:$I$456=$I139)*(ROW($A$7:$A$456)&lt;&gt;139)*($M$7:$M$456&lt;=$N139)*($N$7:$N$456&gt;=$M139))&gt;0,"⚠ Çakışma","OK")))</f>
        <v/>
      </c>
      <c r="Q139" s="33" t="str">
        <f aca="false">IF($A139&lt;&gt;"Seçildi","",IF(OR($L139="",$I139="",$M139=""),"",IF(SUMPRODUCT(($A$7:$A$456="Seçildi")*($L$7:$L$456=$L139)*($I$7:$I$456=$I139)*(ROW($A$7:$A$456)&lt;&gt;139)*($M$7:$M$456&lt;=$N139)*($N$7:$N$456&gt;=$M139))&gt;0,"⚠ Çakışma","OK")))</f>
        <v/>
      </c>
      <c r="R139" s="33" t="str">
        <f aca="false">IF($A139&lt;&gt;"Seçildi","",IF(OR($D139="",$I139="",$M139=""),"",IF(SUMPRODUCT(($A$7:$A$456="Seçildi")*($D$7:$D$456=$D139)*($I$7:$I$456=$I139)*(ROW($A$7:$A$456)&lt;&gt;139)*($M$7:$M$456&lt;=$N139)*($N$7:$N$456&gt;=$M139))&gt;0,"⚠ Çakışma","OK")))</f>
        <v/>
      </c>
      <c r="S139" s="33" t="str">
        <f aca="false">IF($A139&lt;&gt;"Seçildi","",IF(SUM($K139,$K140,$K141)&lt;&gt;$F139,"⚠ Dağılım: "&amp;SUM($K139:$K141)&amp;"/"&amp;$F139&amp;" saat","✓ Tamam"))</f>
        <v/>
      </c>
      <c r="T139" s="33" t="str">
        <f aca="false">IF($A139&lt;&gt;"Seçildi","",IF(OR($O139&lt;&gt;"",$P139="⚠ Çakışma",$Q139="⚠ Çakışma",$R139="⚠ Çakışma",LEFT($S139&amp;" ",1)="⚠"),"⚠ Kontrol Et","✓ Uygun"))</f>
        <v/>
      </c>
    </row>
    <row r="140" customFormat="false" ht="13.5" hidden="false" customHeight="true" outlineLevel="0" collapsed="false">
      <c r="A140" s="33" t="str">
        <f aca="false">'1-Ders Havuzu'!K47</f>
        <v>Seçilmedi</v>
      </c>
      <c r="B140" s="33" t="str">
        <f aca="false">IF($A140="Seçildi",IF('1-Ders Havuzu'!C47="","",'1-Ders Havuzu'!C47),"")</f>
        <v/>
      </c>
      <c r="C140" s="34" t="str">
        <f aca="false">IF($A140="Seçildi",IF('1-Ders Havuzu'!D47="","",'1-Ders Havuzu'!D47),"")</f>
        <v/>
      </c>
      <c r="D140" s="33" t="str">
        <f aca="false">IF($A140="Seçildi",IF('1-Ders Havuzu'!B47="","",'1-Ders Havuzu'!B47),"")</f>
        <v/>
      </c>
      <c r="E140" s="33" t="str">
        <f aca="false">IF($A140="Seçildi",IF('1-Ders Havuzu'!A47="","",'1-Ders Havuzu'!A47),"")</f>
        <v/>
      </c>
      <c r="F140" s="33" t="str">
        <f aca="false">IF($A140="Seçildi",IF('1-Ders Havuzu'!H47="","",'1-Ders Havuzu'!H47),"")</f>
        <v/>
      </c>
      <c r="G140" s="33" t="str">
        <f aca="false">IF($A140="Seçildi",IF('2-Ders-Öğr.Elemanı Eşleştirme'!H47="","",'2-Ders-Öğr.Elemanı Eşleştirme'!H47),"")</f>
        <v/>
      </c>
      <c r="H140" s="35" t="n">
        <v>2</v>
      </c>
      <c r="I140" s="36"/>
      <c r="J140" s="36"/>
      <c r="K140" s="36"/>
      <c r="L140" s="36"/>
      <c r="M140" s="33" t="str">
        <f aca="false">IF($J140="","",MATCH($J140,{"08.00";"09.00";"10.00";"11.00";"12.00";"13.00";"14.00";"15.00";"16.00";"17.00"},0))</f>
        <v/>
      </c>
      <c r="N140" s="33" t="str">
        <f aca="false">IF(OR($M140="",$K140=""),"",$M140+$K140-1)</f>
        <v/>
      </c>
      <c r="O140" s="33" t="str">
        <f aca="false">IF($A140&lt;&gt;"Seçildi","",IF(OR($M140="",$N140=""),"",IF($N140&gt;10,"⚠ Saat Taşıyor","")))</f>
        <v/>
      </c>
      <c r="P140" s="33" t="str">
        <f aca="false">IF($A140&lt;&gt;"Seçildi","",IF(OR($G140="",$I140="",$M140=""),"",IF(SUMPRODUCT(($A$7:$A$456="Seçildi")*($G$7:$G$456=$G140)*($I$7:$I$456=$I140)*(ROW($A$7:$A$456)&lt;&gt;140)*($M$7:$M$456&lt;=$N140)*($N$7:$N$456&gt;=$M140))&gt;0,"⚠ Çakışma","OK")))</f>
        <v/>
      </c>
      <c r="Q140" s="33" t="str">
        <f aca="false">IF($A140&lt;&gt;"Seçildi","",IF(OR($L140="",$I140="",$M140=""),"",IF(SUMPRODUCT(($A$7:$A$456="Seçildi")*($L$7:$L$456=$L140)*($I$7:$I$456=$I140)*(ROW($A$7:$A$456)&lt;&gt;140)*($M$7:$M$456&lt;=$N140)*($N$7:$N$456&gt;=$M140))&gt;0,"⚠ Çakışma","OK")))</f>
        <v/>
      </c>
      <c r="R140" s="33" t="str">
        <f aca="false">IF($A140&lt;&gt;"Seçildi","",IF(OR($D140="",$I140="",$M140=""),"",IF(SUMPRODUCT(($A$7:$A$456="Seçildi")*($D$7:$D$456=$D140)*($I$7:$I$456=$I140)*(ROW($A$7:$A$456)&lt;&gt;140)*($M$7:$M$456&lt;=$N140)*($N$7:$N$456&gt;=$M140))&gt;0,"⚠ Çakışma","OK")))</f>
        <v/>
      </c>
      <c r="S140" s="33"/>
      <c r="T140" s="33" t="str">
        <f aca="false">IF(OR($A140&lt;&gt;"Seçildi",AND($I140="",$J140="")),"",IF(OR($O140&lt;&gt;"",$P140="⚠ Çakışma",$Q140="⚠ Çakışma",$R140="⚠ Çakışma"),"⚠ Kontrol Et","✓ Uygun"))</f>
        <v/>
      </c>
    </row>
    <row r="141" customFormat="false" ht="13.5" hidden="false" customHeight="true" outlineLevel="0" collapsed="false">
      <c r="A141" s="33" t="str">
        <f aca="false">'1-Ders Havuzu'!K47</f>
        <v>Seçilmedi</v>
      </c>
      <c r="B141" s="33" t="str">
        <f aca="false">IF($A141="Seçildi",IF('1-Ders Havuzu'!C47="","",'1-Ders Havuzu'!C47),"")</f>
        <v/>
      </c>
      <c r="C141" s="34" t="str">
        <f aca="false">IF($A141="Seçildi",IF('1-Ders Havuzu'!D47="","",'1-Ders Havuzu'!D47),"")</f>
        <v/>
      </c>
      <c r="D141" s="33" t="str">
        <f aca="false">IF($A141="Seçildi",IF('1-Ders Havuzu'!B47="","",'1-Ders Havuzu'!B47),"")</f>
        <v/>
      </c>
      <c r="E141" s="33" t="str">
        <f aca="false">IF($A141="Seçildi",IF('1-Ders Havuzu'!A47="","",'1-Ders Havuzu'!A47),"")</f>
        <v/>
      </c>
      <c r="F141" s="33" t="str">
        <f aca="false">IF($A141="Seçildi",IF('1-Ders Havuzu'!H47="","",'1-Ders Havuzu'!H47),"")</f>
        <v/>
      </c>
      <c r="G141" s="33" t="str">
        <f aca="false">IF($A141="Seçildi",IF('2-Ders-Öğr.Elemanı Eşleştirme'!H47="","",'2-Ders-Öğr.Elemanı Eşleştirme'!H47),"")</f>
        <v/>
      </c>
      <c r="H141" s="35" t="n">
        <v>3</v>
      </c>
      <c r="I141" s="36"/>
      <c r="J141" s="36"/>
      <c r="K141" s="36"/>
      <c r="L141" s="36"/>
      <c r="M141" s="33" t="str">
        <f aca="false">IF($J141="","",MATCH($J141,{"08.00";"09.00";"10.00";"11.00";"12.00";"13.00";"14.00";"15.00";"16.00";"17.00"},0))</f>
        <v/>
      </c>
      <c r="N141" s="33" t="str">
        <f aca="false">IF(OR($M141="",$K141=""),"",$M141+$K141-1)</f>
        <v/>
      </c>
      <c r="O141" s="33" t="str">
        <f aca="false">IF($A141&lt;&gt;"Seçildi","",IF(OR($M141="",$N141=""),"",IF($N141&gt;10,"⚠ Saat Taşıyor","")))</f>
        <v/>
      </c>
      <c r="P141" s="33" t="str">
        <f aca="false">IF($A141&lt;&gt;"Seçildi","",IF(OR($G141="",$I141="",$M141=""),"",IF(SUMPRODUCT(($A$7:$A$456="Seçildi")*($G$7:$G$456=$G141)*($I$7:$I$456=$I141)*(ROW($A$7:$A$456)&lt;&gt;141)*($M$7:$M$456&lt;=$N141)*($N$7:$N$456&gt;=$M141))&gt;0,"⚠ Çakışma","OK")))</f>
        <v/>
      </c>
      <c r="Q141" s="33" t="str">
        <f aca="false">IF($A141&lt;&gt;"Seçildi","",IF(OR($L141="",$I141="",$M141=""),"",IF(SUMPRODUCT(($A$7:$A$456="Seçildi")*($L$7:$L$456=$L141)*($I$7:$I$456=$I141)*(ROW($A$7:$A$456)&lt;&gt;141)*($M$7:$M$456&lt;=$N141)*($N$7:$N$456&gt;=$M141))&gt;0,"⚠ Çakışma","OK")))</f>
        <v/>
      </c>
      <c r="R141" s="33" t="str">
        <f aca="false">IF($A141&lt;&gt;"Seçildi","",IF(OR($D141="",$I141="",$M141=""),"",IF(SUMPRODUCT(($A$7:$A$456="Seçildi")*($D$7:$D$456=$D141)*($I$7:$I$456=$I141)*(ROW($A$7:$A$456)&lt;&gt;141)*($M$7:$M$456&lt;=$N141)*($N$7:$N$456&gt;=$M141))&gt;0,"⚠ Çakışma","OK")))</f>
        <v/>
      </c>
      <c r="S141" s="33"/>
      <c r="T141" s="33" t="str">
        <f aca="false">IF(OR($A141&lt;&gt;"Seçildi",AND($I141="",$J141="")),"",IF(OR($O141&lt;&gt;"",$P141="⚠ Çakışma",$Q141="⚠ Çakışma",$R141="⚠ Çakışma"),"⚠ Kontrol Et","✓ Uygun"))</f>
        <v/>
      </c>
    </row>
    <row r="142" customFormat="false" ht="13.5" hidden="false" customHeight="true" outlineLevel="0" collapsed="false">
      <c r="A142" s="37" t="str">
        <f aca="false">'1-Ders Havuzu'!K48</f>
        <v>Seçilmedi</v>
      </c>
      <c r="B142" s="37" t="str">
        <f aca="false">IF($A142="Seçildi",IF('1-Ders Havuzu'!C48="","",'1-Ders Havuzu'!C48),"")</f>
        <v/>
      </c>
      <c r="C142" s="38" t="str">
        <f aca="false">IF($A142="Seçildi",IF('1-Ders Havuzu'!D48="","",'1-Ders Havuzu'!D48),"")</f>
        <v/>
      </c>
      <c r="D142" s="37" t="str">
        <f aca="false">IF($A142="Seçildi",IF('1-Ders Havuzu'!B48="","",'1-Ders Havuzu'!B48),"")</f>
        <v/>
      </c>
      <c r="E142" s="37" t="str">
        <f aca="false">IF($A142="Seçildi",IF('1-Ders Havuzu'!A48="","",'1-Ders Havuzu'!A48),"")</f>
        <v/>
      </c>
      <c r="F142" s="37" t="str">
        <f aca="false">IF($A142="Seçildi",IF('1-Ders Havuzu'!H48="","",'1-Ders Havuzu'!H48),"")</f>
        <v/>
      </c>
      <c r="G142" s="37" t="str">
        <f aca="false">IF($A142="Seçildi",IF('2-Ders-Öğr.Elemanı Eşleştirme'!H48="","",'2-Ders-Öğr.Elemanı Eşleştirme'!H48),"")</f>
        <v/>
      </c>
      <c r="H142" s="39" t="n">
        <v>1</v>
      </c>
      <c r="I142" s="36"/>
      <c r="J142" s="36"/>
      <c r="K142" s="36"/>
      <c r="L142" s="36"/>
      <c r="M142" s="37" t="str">
        <f aca="false">IF($J142="","",MATCH($J142,{"08.00";"09.00";"10.00";"11.00";"12.00";"13.00";"14.00";"15.00";"16.00";"17.00"},0))</f>
        <v/>
      </c>
      <c r="N142" s="37" t="str">
        <f aca="false">IF(OR($M142="",$K142=""),"",$M142+$K142-1)</f>
        <v/>
      </c>
      <c r="O142" s="37" t="str">
        <f aca="false">IF($A142&lt;&gt;"Seçildi","",IF(OR($M142="",$N142=""),"",IF($N142&gt;10,"⚠ Saat Taşıyor","")))</f>
        <v/>
      </c>
      <c r="P142" s="37" t="str">
        <f aca="false">IF($A142&lt;&gt;"Seçildi","",IF(OR($G142="",$I142="",$M142=""),"",IF(SUMPRODUCT(($A$7:$A$456="Seçildi")*($G$7:$G$456=$G142)*($I$7:$I$456=$I142)*(ROW($A$7:$A$456)&lt;&gt;142)*($M$7:$M$456&lt;=$N142)*($N$7:$N$456&gt;=$M142))&gt;0,"⚠ Çakışma","OK")))</f>
        <v/>
      </c>
      <c r="Q142" s="37" t="str">
        <f aca="false">IF($A142&lt;&gt;"Seçildi","",IF(OR($L142="",$I142="",$M142=""),"",IF(SUMPRODUCT(($A$7:$A$456="Seçildi")*($L$7:$L$456=$L142)*($I$7:$I$456=$I142)*(ROW($A$7:$A$456)&lt;&gt;142)*($M$7:$M$456&lt;=$N142)*($N$7:$N$456&gt;=$M142))&gt;0,"⚠ Çakışma","OK")))</f>
        <v/>
      </c>
      <c r="R142" s="37" t="str">
        <f aca="false">IF($A142&lt;&gt;"Seçildi","",IF(OR($D142="",$I142="",$M142=""),"",IF(SUMPRODUCT(($A$7:$A$456="Seçildi")*($D$7:$D$456=$D142)*($I$7:$I$456=$I142)*(ROW($A$7:$A$456)&lt;&gt;142)*($M$7:$M$456&lt;=$N142)*($N$7:$N$456&gt;=$M142))&gt;0,"⚠ Çakışma","OK")))</f>
        <v/>
      </c>
      <c r="S142" s="37" t="str">
        <f aca="false">IF($A142&lt;&gt;"Seçildi","",IF(SUM($K142,$K143,$K144)&lt;&gt;$F142,"⚠ Dağılım: "&amp;SUM($K142:$K144)&amp;"/"&amp;$F142&amp;" saat","✓ Tamam"))</f>
        <v/>
      </c>
      <c r="T142" s="37" t="str">
        <f aca="false">IF($A142&lt;&gt;"Seçildi","",IF(OR($O142&lt;&gt;"",$P142="⚠ Çakışma",$Q142="⚠ Çakışma",$R142="⚠ Çakışma",LEFT($S142&amp;" ",1)="⚠"),"⚠ Kontrol Et","✓ Uygun"))</f>
        <v/>
      </c>
    </row>
    <row r="143" customFormat="false" ht="13.5" hidden="false" customHeight="true" outlineLevel="0" collapsed="false">
      <c r="A143" s="37" t="str">
        <f aca="false">'1-Ders Havuzu'!K48</f>
        <v>Seçilmedi</v>
      </c>
      <c r="B143" s="37" t="str">
        <f aca="false">IF($A143="Seçildi",IF('1-Ders Havuzu'!C48="","",'1-Ders Havuzu'!C48),"")</f>
        <v/>
      </c>
      <c r="C143" s="38" t="str">
        <f aca="false">IF($A143="Seçildi",IF('1-Ders Havuzu'!D48="","",'1-Ders Havuzu'!D48),"")</f>
        <v/>
      </c>
      <c r="D143" s="37" t="str">
        <f aca="false">IF($A143="Seçildi",IF('1-Ders Havuzu'!B48="","",'1-Ders Havuzu'!B48),"")</f>
        <v/>
      </c>
      <c r="E143" s="37" t="str">
        <f aca="false">IF($A143="Seçildi",IF('1-Ders Havuzu'!A48="","",'1-Ders Havuzu'!A48),"")</f>
        <v/>
      </c>
      <c r="F143" s="37" t="str">
        <f aca="false">IF($A143="Seçildi",IF('1-Ders Havuzu'!H48="","",'1-Ders Havuzu'!H48),"")</f>
        <v/>
      </c>
      <c r="G143" s="37" t="str">
        <f aca="false">IF($A143="Seçildi",IF('2-Ders-Öğr.Elemanı Eşleştirme'!H48="","",'2-Ders-Öğr.Elemanı Eşleştirme'!H48),"")</f>
        <v/>
      </c>
      <c r="H143" s="39" t="n">
        <v>2</v>
      </c>
      <c r="I143" s="36"/>
      <c r="J143" s="36"/>
      <c r="K143" s="36"/>
      <c r="L143" s="36"/>
      <c r="M143" s="37" t="str">
        <f aca="false">IF($J143="","",MATCH($J143,{"08.00";"09.00";"10.00";"11.00";"12.00";"13.00";"14.00";"15.00";"16.00";"17.00"},0))</f>
        <v/>
      </c>
      <c r="N143" s="37" t="str">
        <f aca="false">IF(OR($M143="",$K143=""),"",$M143+$K143-1)</f>
        <v/>
      </c>
      <c r="O143" s="37" t="str">
        <f aca="false">IF($A143&lt;&gt;"Seçildi","",IF(OR($M143="",$N143=""),"",IF($N143&gt;10,"⚠ Saat Taşıyor","")))</f>
        <v/>
      </c>
      <c r="P143" s="37" t="str">
        <f aca="false">IF($A143&lt;&gt;"Seçildi","",IF(OR($G143="",$I143="",$M143=""),"",IF(SUMPRODUCT(($A$7:$A$456="Seçildi")*($G$7:$G$456=$G143)*($I$7:$I$456=$I143)*(ROW($A$7:$A$456)&lt;&gt;143)*($M$7:$M$456&lt;=$N143)*($N$7:$N$456&gt;=$M143))&gt;0,"⚠ Çakışma","OK")))</f>
        <v/>
      </c>
      <c r="Q143" s="37" t="str">
        <f aca="false">IF($A143&lt;&gt;"Seçildi","",IF(OR($L143="",$I143="",$M143=""),"",IF(SUMPRODUCT(($A$7:$A$456="Seçildi")*($L$7:$L$456=$L143)*($I$7:$I$456=$I143)*(ROW($A$7:$A$456)&lt;&gt;143)*($M$7:$M$456&lt;=$N143)*($N$7:$N$456&gt;=$M143))&gt;0,"⚠ Çakışma","OK")))</f>
        <v/>
      </c>
      <c r="R143" s="37" t="str">
        <f aca="false">IF($A143&lt;&gt;"Seçildi","",IF(OR($D143="",$I143="",$M143=""),"",IF(SUMPRODUCT(($A$7:$A$456="Seçildi")*($D$7:$D$456=$D143)*($I$7:$I$456=$I143)*(ROW($A$7:$A$456)&lt;&gt;143)*($M$7:$M$456&lt;=$N143)*($N$7:$N$456&gt;=$M143))&gt;0,"⚠ Çakışma","OK")))</f>
        <v/>
      </c>
      <c r="S143" s="37"/>
      <c r="T143" s="37" t="str">
        <f aca="false">IF(OR($A143&lt;&gt;"Seçildi",AND($I143="",$J143="")),"",IF(OR($O143&lt;&gt;"",$P143="⚠ Çakışma",$Q143="⚠ Çakışma",$R143="⚠ Çakışma"),"⚠ Kontrol Et","✓ Uygun"))</f>
        <v/>
      </c>
    </row>
    <row r="144" customFormat="false" ht="13.5" hidden="false" customHeight="true" outlineLevel="0" collapsed="false">
      <c r="A144" s="37" t="str">
        <f aca="false">'1-Ders Havuzu'!K48</f>
        <v>Seçilmedi</v>
      </c>
      <c r="B144" s="37" t="str">
        <f aca="false">IF($A144="Seçildi",IF('1-Ders Havuzu'!C48="","",'1-Ders Havuzu'!C48),"")</f>
        <v/>
      </c>
      <c r="C144" s="38" t="str">
        <f aca="false">IF($A144="Seçildi",IF('1-Ders Havuzu'!D48="","",'1-Ders Havuzu'!D48),"")</f>
        <v/>
      </c>
      <c r="D144" s="37" t="str">
        <f aca="false">IF($A144="Seçildi",IF('1-Ders Havuzu'!B48="","",'1-Ders Havuzu'!B48),"")</f>
        <v/>
      </c>
      <c r="E144" s="37" t="str">
        <f aca="false">IF($A144="Seçildi",IF('1-Ders Havuzu'!A48="","",'1-Ders Havuzu'!A48),"")</f>
        <v/>
      </c>
      <c r="F144" s="37" t="str">
        <f aca="false">IF($A144="Seçildi",IF('1-Ders Havuzu'!H48="","",'1-Ders Havuzu'!H48),"")</f>
        <v/>
      </c>
      <c r="G144" s="37" t="str">
        <f aca="false">IF($A144="Seçildi",IF('2-Ders-Öğr.Elemanı Eşleştirme'!H48="","",'2-Ders-Öğr.Elemanı Eşleştirme'!H48),"")</f>
        <v/>
      </c>
      <c r="H144" s="39" t="n">
        <v>3</v>
      </c>
      <c r="I144" s="36"/>
      <c r="J144" s="36"/>
      <c r="K144" s="36"/>
      <c r="L144" s="36"/>
      <c r="M144" s="37" t="str">
        <f aca="false">IF($J144="","",MATCH($J144,{"08.00";"09.00";"10.00";"11.00";"12.00";"13.00";"14.00";"15.00";"16.00";"17.00"},0))</f>
        <v/>
      </c>
      <c r="N144" s="37" t="str">
        <f aca="false">IF(OR($M144="",$K144=""),"",$M144+$K144-1)</f>
        <v/>
      </c>
      <c r="O144" s="37" t="str">
        <f aca="false">IF($A144&lt;&gt;"Seçildi","",IF(OR($M144="",$N144=""),"",IF($N144&gt;10,"⚠ Saat Taşıyor","")))</f>
        <v/>
      </c>
      <c r="P144" s="37" t="str">
        <f aca="false">IF($A144&lt;&gt;"Seçildi","",IF(OR($G144="",$I144="",$M144=""),"",IF(SUMPRODUCT(($A$7:$A$456="Seçildi")*($G$7:$G$456=$G144)*($I$7:$I$456=$I144)*(ROW($A$7:$A$456)&lt;&gt;144)*($M$7:$M$456&lt;=$N144)*($N$7:$N$456&gt;=$M144))&gt;0,"⚠ Çakışma","OK")))</f>
        <v/>
      </c>
      <c r="Q144" s="37" t="str">
        <f aca="false">IF($A144&lt;&gt;"Seçildi","",IF(OR($L144="",$I144="",$M144=""),"",IF(SUMPRODUCT(($A$7:$A$456="Seçildi")*($L$7:$L$456=$L144)*($I$7:$I$456=$I144)*(ROW($A$7:$A$456)&lt;&gt;144)*($M$7:$M$456&lt;=$N144)*($N$7:$N$456&gt;=$M144))&gt;0,"⚠ Çakışma","OK")))</f>
        <v/>
      </c>
      <c r="R144" s="37" t="str">
        <f aca="false">IF($A144&lt;&gt;"Seçildi","",IF(OR($D144="",$I144="",$M144=""),"",IF(SUMPRODUCT(($A$7:$A$456="Seçildi")*($D$7:$D$456=$D144)*($I$7:$I$456=$I144)*(ROW($A$7:$A$456)&lt;&gt;144)*($M$7:$M$456&lt;=$N144)*($N$7:$N$456&gt;=$M144))&gt;0,"⚠ Çakışma","OK")))</f>
        <v/>
      </c>
      <c r="S144" s="37"/>
      <c r="T144" s="37" t="str">
        <f aca="false">IF(OR($A144&lt;&gt;"Seçildi",AND($I144="",$J144="")),"",IF(OR($O144&lt;&gt;"",$P144="⚠ Çakışma",$Q144="⚠ Çakışma",$R144="⚠ Çakışma"),"⚠ Kontrol Et","✓ Uygun"))</f>
        <v/>
      </c>
    </row>
    <row r="145" customFormat="false" ht="13.5" hidden="false" customHeight="true" outlineLevel="0" collapsed="false">
      <c r="A145" s="33" t="str">
        <f aca="false">'1-Ders Havuzu'!K49</f>
        <v>Seçilmedi</v>
      </c>
      <c r="B145" s="33" t="str">
        <f aca="false">IF($A145="Seçildi",IF('1-Ders Havuzu'!C49="","",'1-Ders Havuzu'!C49),"")</f>
        <v/>
      </c>
      <c r="C145" s="34" t="str">
        <f aca="false">IF($A145="Seçildi",IF('1-Ders Havuzu'!D49="","",'1-Ders Havuzu'!D49),"")</f>
        <v/>
      </c>
      <c r="D145" s="33" t="str">
        <f aca="false">IF($A145="Seçildi",IF('1-Ders Havuzu'!B49="","",'1-Ders Havuzu'!B49),"")</f>
        <v/>
      </c>
      <c r="E145" s="33" t="str">
        <f aca="false">IF($A145="Seçildi",IF('1-Ders Havuzu'!A49="","",'1-Ders Havuzu'!A49),"")</f>
        <v/>
      </c>
      <c r="F145" s="33" t="str">
        <f aca="false">IF($A145="Seçildi",IF('1-Ders Havuzu'!H49="","",'1-Ders Havuzu'!H49),"")</f>
        <v/>
      </c>
      <c r="G145" s="33" t="str">
        <f aca="false">IF($A145="Seçildi",IF('2-Ders-Öğr.Elemanı Eşleştirme'!H49="","",'2-Ders-Öğr.Elemanı Eşleştirme'!H49),"")</f>
        <v/>
      </c>
      <c r="H145" s="35" t="n">
        <v>1</v>
      </c>
      <c r="I145" s="36"/>
      <c r="J145" s="36"/>
      <c r="K145" s="36"/>
      <c r="L145" s="36"/>
      <c r="M145" s="33" t="str">
        <f aca="false">IF($J145="","",MATCH($J145,{"08.00";"09.00";"10.00";"11.00";"12.00";"13.00";"14.00";"15.00";"16.00";"17.00"},0))</f>
        <v/>
      </c>
      <c r="N145" s="33" t="str">
        <f aca="false">IF(OR($M145="",$K145=""),"",$M145+$K145-1)</f>
        <v/>
      </c>
      <c r="O145" s="33" t="str">
        <f aca="false">IF($A145&lt;&gt;"Seçildi","",IF(OR($M145="",$N145=""),"",IF($N145&gt;10,"⚠ Saat Taşıyor","")))</f>
        <v/>
      </c>
      <c r="P145" s="33" t="str">
        <f aca="false">IF($A145&lt;&gt;"Seçildi","",IF(OR($G145="",$I145="",$M145=""),"",IF(SUMPRODUCT(($A$7:$A$456="Seçildi")*($G$7:$G$456=$G145)*($I$7:$I$456=$I145)*(ROW($A$7:$A$456)&lt;&gt;145)*($M$7:$M$456&lt;=$N145)*($N$7:$N$456&gt;=$M145))&gt;0,"⚠ Çakışma","OK")))</f>
        <v/>
      </c>
      <c r="Q145" s="33" t="str">
        <f aca="false">IF($A145&lt;&gt;"Seçildi","",IF(OR($L145="",$I145="",$M145=""),"",IF(SUMPRODUCT(($A$7:$A$456="Seçildi")*($L$7:$L$456=$L145)*($I$7:$I$456=$I145)*(ROW($A$7:$A$456)&lt;&gt;145)*($M$7:$M$456&lt;=$N145)*($N$7:$N$456&gt;=$M145))&gt;0,"⚠ Çakışma","OK")))</f>
        <v/>
      </c>
      <c r="R145" s="33" t="str">
        <f aca="false">IF($A145&lt;&gt;"Seçildi","",IF(OR($D145="",$I145="",$M145=""),"",IF(SUMPRODUCT(($A$7:$A$456="Seçildi")*($D$7:$D$456=$D145)*($I$7:$I$456=$I145)*(ROW($A$7:$A$456)&lt;&gt;145)*($M$7:$M$456&lt;=$N145)*($N$7:$N$456&gt;=$M145))&gt;0,"⚠ Çakışma","OK")))</f>
        <v/>
      </c>
      <c r="S145" s="33" t="str">
        <f aca="false">IF($A145&lt;&gt;"Seçildi","",IF(SUM($K145,$K146,$K147)&lt;&gt;$F145,"⚠ Dağılım: "&amp;SUM($K145:$K147)&amp;"/"&amp;$F145&amp;" saat","✓ Tamam"))</f>
        <v/>
      </c>
      <c r="T145" s="33" t="str">
        <f aca="false">IF($A145&lt;&gt;"Seçildi","",IF(OR($O145&lt;&gt;"",$P145="⚠ Çakışma",$Q145="⚠ Çakışma",$R145="⚠ Çakışma",LEFT($S145&amp;" ",1)="⚠"),"⚠ Kontrol Et","✓ Uygun"))</f>
        <v/>
      </c>
    </row>
    <row r="146" customFormat="false" ht="13.5" hidden="false" customHeight="true" outlineLevel="0" collapsed="false">
      <c r="A146" s="33" t="str">
        <f aca="false">'1-Ders Havuzu'!K49</f>
        <v>Seçilmedi</v>
      </c>
      <c r="B146" s="33" t="str">
        <f aca="false">IF($A146="Seçildi",IF('1-Ders Havuzu'!C49="","",'1-Ders Havuzu'!C49),"")</f>
        <v/>
      </c>
      <c r="C146" s="34" t="str">
        <f aca="false">IF($A146="Seçildi",IF('1-Ders Havuzu'!D49="","",'1-Ders Havuzu'!D49),"")</f>
        <v/>
      </c>
      <c r="D146" s="33" t="str">
        <f aca="false">IF($A146="Seçildi",IF('1-Ders Havuzu'!B49="","",'1-Ders Havuzu'!B49),"")</f>
        <v/>
      </c>
      <c r="E146" s="33" t="str">
        <f aca="false">IF($A146="Seçildi",IF('1-Ders Havuzu'!A49="","",'1-Ders Havuzu'!A49),"")</f>
        <v/>
      </c>
      <c r="F146" s="33" t="str">
        <f aca="false">IF($A146="Seçildi",IF('1-Ders Havuzu'!H49="","",'1-Ders Havuzu'!H49),"")</f>
        <v/>
      </c>
      <c r="G146" s="33" t="str">
        <f aca="false">IF($A146="Seçildi",IF('2-Ders-Öğr.Elemanı Eşleştirme'!H49="","",'2-Ders-Öğr.Elemanı Eşleştirme'!H49),"")</f>
        <v/>
      </c>
      <c r="H146" s="35" t="n">
        <v>2</v>
      </c>
      <c r="I146" s="36"/>
      <c r="J146" s="36"/>
      <c r="K146" s="36"/>
      <c r="L146" s="36"/>
      <c r="M146" s="33" t="str">
        <f aca="false">IF($J146="","",MATCH($J146,{"08.00";"09.00";"10.00";"11.00";"12.00";"13.00";"14.00";"15.00";"16.00";"17.00"},0))</f>
        <v/>
      </c>
      <c r="N146" s="33" t="str">
        <f aca="false">IF(OR($M146="",$K146=""),"",$M146+$K146-1)</f>
        <v/>
      </c>
      <c r="O146" s="33" t="str">
        <f aca="false">IF($A146&lt;&gt;"Seçildi","",IF(OR($M146="",$N146=""),"",IF($N146&gt;10,"⚠ Saat Taşıyor","")))</f>
        <v/>
      </c>
      <c r="P146" s="33" t="str">
        <f aca="false">IF($A146&lt;&gt;"Seçildi","",IF(OR($G146="",$I146="",$M146=""),"",IF(SUMPRODUCT(($A$7:$A$456="Seçildi")*($G$7:$G$456=$G146)*($I$7:$I$456=$I146)*(ROW($A$7:$A$456)&lt;&gt;146)*($M$7:$M$456&lt;=$N146)*($N$7:$N$456&gt;=$M146))&gt;0,"⚠ Çakışma","OK")))</f>
        <v/>
      </c>
      <c r="Q146" s="33" t="str">
        <f aca="false">IF($A146&lt;&gt;"Seçildi","",IF(OR($L146="",$I146="",$M146=""),"",IF(SUMPRODUCT(($A$7:$A$456="Seçildi")*($L$7:$L$456=$L146)*($I$7:$I$456=$I146)*(ROW($A$7:$A$456)&lt;&gt;146)*($M$7:$M$456&lt;=$N146)*($N$7:$N$456&gt;=$M146))&gt;0,"⚠ Çakışma","OK")))</f>
        <v/>
      </c>
      <c r="R146" s="33" t="str">
        <f aca="false">IF($A146&lt;&gt;"Seçildi","",IF(OR($D146="",$I146="",$M146=""),"",IF(SUMPRODUCT(($A$7:$A$456="Seçildi")*($D$7:$D$456=$D146)*($I$7:$I$456=$I146)*(ROW($A$7:$A$456)&lt;&gt;146)*($M$7:$M$456&lt;=$N146)*($N$7:$N$456&gt;=$M146))&gt;0,"⚠ Çakışma","OK")))</f>
        <v/>
      </c>
      <c r="S146" s="33"/>
      <c r="T146" s="33" t="str">
        <f aca="false">IF(OR($A146&lt;&gt;"Seçildi",AND($I146="",$J146="")),"",IF(OR($O146&lt;&gt;"",$P146="⚠ Çakışma",$Q146="⚠ Çakışma",$R146="⚠ Çakışma"),"⚠ Kontrol Et","✓ Uygun"))</f>
        <v/>
      </c>
    </row>
    <row r="147" customFormat="false" ht="13.5" hidden="false" customHeight="true" outlineLevel="0" collapsed="false">
      <c r="A147" s="33" t="str">
        <f aca="false">'1-Ders Havuzu'!K49</f>
        <v>Seçilmedi</v>
      </c>
      <c r="B147" s="33" t="str">
        <f aca="false">IF($A147="Seçildi",IF('1-Ders Havuzu'!C49="","",'1-Ders Havuzu'!C49),"")</f>
        <v/>
      </c>
      <c r="C147" s="34" t="str">
        <f aca="false">IF($A147="Seçildi",IF('1-Ders Havuzu'!D49="","",'1-Ders Havuzu'!D49),"")</f>
        <v/>
      </c>
      <c r="D147" s="33" t="str">
        <f aca="false">IF($A147="Seçildi",IF('1-Ders Havuzu'!B49="","",'1-Ders Havuzu'!B49),"")</f>
        <v/>
      </c>
      <c r="E147" s="33" t="str">
        <f aca="false">IF($A147="Seçildi",IF('1-Ders Havuzu'!A49="","",'1-Ders Havuzu'!A49),"")</f>
        <v/>
      </c>
      <c r="F147" s="33" t="str">
        <f aca="false">IF($A147="Seçildi",IF('1-Ders Havuzu'!H49="","",'1-Ders Havuzu'!H49),"")</f>
        <v/>
      </c>
      <c r="G147" s="33" t="str">
        <f aca="false">IF($A147="Seçildi",IF('2-Ders-Öğr.Elemanı Eşleştirme'!H49="","",'2-Ders-Öğr.Elemanı Eşleştirme'!H49),"")</f>
        <v/>
      </c>
      <c r="H147" s="35" t="n">
        <v>3</v>
      </c>
      <c r="I147" s="36"/>
      <c r="J147" s="36"/>
      <c r="K147" s="36"/>
      <c r="L147" s="36"/>
      <c r="M147" s="33" t="str">
        <f aca="false">IF($J147="","",MATCH($J147,{"08.00";"09.00";"10.00";"11.00";"12.00";"13.00";"14.00";"15.00";"16.00";"17.00"},0))</f>
        <v/>
      </c>
      <c r="N147" s="33" t="str">
        <f aca="false">IF(OR($M147="",$K147=""),"",$M147+$K147-1)</f>
        <v/>
      </c>
      <c r="O147" s="33" t="str">
        <f aca="false">IF($A147&lt;&gt;"Seçildi","",IF(OR($M147="",$N147=""),"",IF($N147&gt;10,"⚠ Saat Taşıyor","")))</f>
        <v/>
      </c>
      <c r="P147" s="33" t="str">
        <f aca="false">IF($A147&lt;&gt;"Seçildi","",IF(OR($G147="",$I147="",$M147=""),"",IF(SUMPRODUCT(($A$7:$A$456="Seçildi")*($G$7:$G$456=$G147)*($I$7:$I$456=$I147)*(ROW($A$7:$A$456)&lt;&gt;147)*($M$7:$M$456&lt;=$N147)*($N$7:$N$456&gt;=$M147))&gt;0,"⚠ Çakışma","OK")))</f>
        <v/>
      </c>
      <c r="Q147" s="33" t="str">
        <f aca="false">IF($A147&lt;&gt;"Seçildi","",IF(OR($L147="",$I147="",$M147=""),"",IF(SUMPRODUCT(($A$7:$A$456="Seçildi")*($L$7:$L$456=$L147)*($I$7:$I$456=$I147)*(ROW($A$7:$A$456)&lt;&gt;147)*($M$7:$M$456&lt;=$N147)*($N$7:$N$456&gt;=$M147))&gt;0,"⚠ Çakışma","OK")))</f>
        <v/>
      </c>
      <c r="R147" s="33" t="str">
        <f aca="false">IF($A147&lt;&gt;"Seçildi","",IF(OR($D147="",$I147="",$M147=""),"",IF(SUMPRODUCT(($A$7:$A$456="Seçildi")*($D$7:$D$456=$D147)*($I$7:$I$456=$I147)*(ROW($A$7:$A$456)&lt;&gt;147)*($M$7:$M$456&lt;=$N147)*($N$7:$N$456&gt;=$M147))&gt;0,"⚠ Çakışma","OK")))</f>
        <v/>
      </c>
      <c r="S147" s="33"/>
      <c r="T147" s="33" t="str">
        <f aca="false">IF(OR($A147&lt;&gt;"Seçildi",AND($I147="",$J147="")),"",IF(OR($O147&lt;&gt;"",$P147="⚠ Çakışma",$Q147="⚠ Çakışma",$R147="⚠ Çakışma"),"⚠ Kontrol Et","✓ Uygun"))</f>
        <v/>
      </c>
    </row>
    <row r="148" customFormat="false" ht="13.5" hidden="false" customHeight="true" outlineLevel="0" collapsed="false">
      <c r="A148" s="37" t="str">
        <f aca="false">'1-Ders Havuzu'!K50</f>
        <v>Seçilmedi</v>
      </c>
      <c r="B148" s="37" t="str">
        <f aca="false">IF($A148="Seçildi",IF('1-Ders Havuzu'!C50="","",'1-Ders Havuzu'!C50),"")</f>
        <v/>
      </c>
      <c r="C148" s="38" t="str">
        <f aca="false">IF($A148="Seçildi",IF('1-Ders Havuzu'!D50="","",'1-Ders Havuzu'!D50),"")</f>
        <v/>
      </c>
      <c r="D148" s="37" t="str">
        <f aca="false">IF($A148="Seçildi",IF('1-Ders Havuzu'!B50="","",'1-Ders Havuzu'!B50),"")</f>
        <v/>
      </c>
      <c r="E148" s="37" t="str">
        <f aca="false">IF($A148="Seçildi",IF('1-Ders Havuzu'!A50="","",'1-Ders Havuzu'!A50),"")</f>
        <v/>
      </c>
      <c r="F148" s="37" t="str">
        <f aca="false">IF($A148="Seçildi",IF('1-Ders Havuzu'!H50="","",'1-Ders Havuzu'!H50),"")</f>
        <v/>
      </c>
      <c r="G148" s="37" t="str">
        <f aca="false">IF($A148="Seçildi",IF('2-Ders-Öğr.Elemanı Eşleştirme'!H50="","",'2-Ders-Öğr.Elemanı Eşleştirme'!H50),"")</f>
        <v/>
      </c>
      <c r="H148" s="39" t="n">
        <v>1</v>
      </c>
      <c r="I148" s="36"/>
      <c r="J148" s="36"/>
      <c r="K148" s="36"/>
      <c r="L148" s="36"/>
      <c r="M148" s="37" t="str">
        <f aca="false">IF($J148="","",MATCH($J148,{"08.00";"09.00";"10.00";"11.00";"12.00";"13.00";"14.00";"15.00";"16.00";"17.00"},0))</f>
        <v/>
      </c>
      <c r="N148" s="37" t="str">
        <f aca="false">IF(OR($M148="",$K148=""),"",$M148+$K148-1)</f>
        <v/>
      </c>
      <c r="O148" s="37" t="str">
        <f aca="false">IF($A148&lt;&gt;"Seçildi","",IF(OR($M148="",$N148=""),"",IF($N148&gt;10,"⚠ Saat Taşıyor","")))</f>
        <v/>
      </c>
      <c r="P148" s="37" t="str">
        <f aca="false">IF($A148&lt;&gt;"Seçildi","",IF(OR($G148="",$I148="",$M148=""),"",IF(SUMPRODUCT(($A$7:$A$456="Seçildi")*($G$7:$G$456=$G148)*($I$7:$I$456=$I148)*(ROW($A$7:$A$456)&lt;&gt;148)*($M$7:$M$456&lt;=$N148)*($N$7:$N$456&gt;=$M148))&gt;0,"⚠ Çakışma","OK")))</f>
        <v/>
      </c>
      <c r="Q148" s="37" t="str">
        <f aca="false">IF($A148&lt;&gt;"Seçildi","",IF(OR($L148="",$I148="",$M148=""),"",IF(SUMPRODUCT(($A$7:$A$456="Seçildi")*($L$7:$L$456=$L148)*($I$7:$I$456=$I148)*(ROW($A$7:$A$456)&lt;&gt;148)*($M$7:$M$456&lt;=$N148)*($N$7:$N$456&gt;=$M148))&gt;0,"⚠ Çakışma","OK")))</f>
        <v/>
      </c>
      <c r="R148" s="37" t="str">
        <f aca="false">IF($A148&lt;&gt;"Seçildi","",IF(OR($D148="",$I148="",$M148=""),"",IF(SUMPRODUCT(($A$7:$A$456="Seçildi")*($D$7:$D$456=$D148)*($I$7:$I$456=$I148)*(ROW($A$7:$A$456)&lt;&gt;148)*($M$7:$M$456&lt;=$N148)*($N$7:$N$456&gt;=$M148))&gt;0,"⚠ Çakışma","OK")))</f>
        <v/>
      </c>
      <c r="S148" s="37" t="str">
        <f aca="false">IF($A148&lt;&gt;"Seçildi","",IF(SUM($K148,$K149,$K150)&lt;&gt;$F148,"⚠ Dağılım: "&amp;SUM($K148:$K150)&amp;"/"&amp;$F148&amp;" saat","✓ Tamam"))</f>
        <v/>
      </c>
      <c r="T148" s="37" t="str">
        <f aca="false">IF($A148&lt;&gt;"Seçildi","",IF(OR($O148&lt;&gt;"",$P148="⚠ Çakışma",$Q148="⚠ Çakışma",$R148="⚠ Çakışma",LEFT($S148&amp;" ",1)="⚠"),"⚠ Kontrol Et","✓ Uygun"))</f>
        <v/>
      </c>
    </row>
    <row r="149" customFormat="false" ht="13.5" hidden="false" customHeight="true" outlineLevel="0" collapsed="false">
      <c r="A149" s="37" t="str">
        <f aca="false">'1-Ders Havuzu'!K50</f>
        <v>Seçilmedi</v>
      </c>
      <c r="B149" s="37" t="str">
        <f aca="false">IF($A149="Seçildi",IF('1-Ders Havuzu'!C50="","",'1-Ders Havuzu'!C50),"")</f>
        <v/>
      </c>
      <c r="C149" s="38" t="str">
        <f aca="false">IF($A149="Seçildi",IF('1-Ders Havuzu'!D50="","",'1-Ders Havuzu'!D50),"")</f>
        <v/>
      </c>
      <c r="D149" s="37" t="str">
        <f aca="false">IF($A149="Seçildi",IF('1-Ders Havuzu'!B50="","",'1-Ders Havuzu'!B50),"")</f>
        <v/>
      </c>
      <c r="E149" s="37" t="str">
        <f aca="false">IF($A149="Seçildi",IF('1-Ders Havuzu'!A50="","",'1-Ders Havuzu'!A50),"")</f>
        <v/>
      </c>
      <c r="F149" s="37" t="str">
        <f aca="false">IF($A149="Seçildi",IF('1-Ders Havuzu'!H50="","",'1-Ders Havuzu'!H50),"")</f>
        <v/>
      </c>
      <c r="G149" s="37" t="str">
        <f aca="false">IF($A149="Seçildi",IF('2-Ders-Öğr.Elemanı Eşleştirme'!H50="","",'2-Ders-Öğr.Elemanı Eşleştirme'!H50),"")</f>
        <v/>
      </c>
      <c r="H149" s="39" t="n">
        <v>2</v>
      </c>
      <c r="I149" s="36"/>
      <c r="J149" s="36"/>
      <c r="K149" s="36"/>
      <c r="L149" s="36"/>
      <c r="M149" s="37" t="str">
        <f aca="false">IF($J149="","",MATCH($J149,{"08.00";"09.00";"10.00";"11.00";"12.00";"13.00";"14.00";"15.00";"16.00";"17.00"},0))</f>
        <v/>
      </c>
      <c r="N149" s="37" t="str">
        <f aca="false">IF(OR($M149="",$K149=""),"",$M149+$K149-1)</f>
        <v/>
      </c>
      <c r="O149" s="37" t="str">
        <f aca="false">IF($A149&lt;&gt;"Seçildi","",IF(OR($M149="",$N149=""),"",IF($N149&gt;10,"⚠ Saat Taşıyor","")))</f>
        <v/>
      </c>
      <c r="P149" s="37" t="str">
        <f aca="false">IF($A149&lt;&gt;"Seçildi","",IF(OR($G149="",$I149="",$M149=""),"",IF(SUMPRODUCT(($A$7:$A$456="Seçildi")*($G$7:$G$456=$G149)*($I$7:$I$456=$I149)*(ROW($A$7:$A$456)&lt;&gt;149)*($M$7:$M$456&lt;=$N149)*($N$7:$N$456&gt;=$M149))&gt;0,"⚠ Çakışma","OK")))</f>
        <v/>
      </c>
      <c r="Q149" s="37" t="str">
        <f aca="false">IF($A149&lt;&gt;"Seçildi","",IF(OR($L149="",$I149="",$M149=""),"",IF(SUMPRODUCT(($A$7:$A$456="Seçildi")*($L$7:$L$456=$L149)*($I$7:$I$456=$I149)*(ROW($A$7:$A$456)&lt;&gt;149)*($M$7:$M$456&lt;=$N149)*($N$7:$N$456&gt;=$M149))&gt;0,"⚠ Çakışma","OK")))</f>
        <v/>
      </c>
      <c r="R149" s="37" t="str">
        <f aca="false">IF($A149&lt;&gt;"Seçildi","",IF(OR($D149="",$I149="",$M149=""),"",IF(SUMPRODUCT(($A$7:$A$456="Seçildi")*($D$7:$D$456=$D149)*($I$7:$I$456=$I149)*(ROW($A$7:$A$456)&lt;&gt;149)*($M$7:$M$456&lt;=$N149)*($N$7:$N$456&gt;=$M149))&gt;0,"⚠ Çakışma","OK")))</f>
        <v/>
      </c>
      <c r="S149" s="37"/>
      <c r="T149" s="37" t="str">
        <f aca="false">IF(OR($A149&lt;&gt;"Seçildi",AND($I149="",$J149="")),"",IF(OR($O149&lt;&gt;"",$P149="⚠ Çakışma",$Q149="⚠ Çakışma",$R149="⚠ Çakışma"),"⚠ Kontrol Et","✓ Uygun"))</f>
        <v/>
      </c>
    </row>
    <row r="150" customFormat="false" ht="13.5" hidden="false" customHeight="true" outlineLevel="0" collapsed="false">
      <c r="A150" s="37" t="str">
        <f aca="false">'1-Ders Havuzu'!K50</f>
        <v>Seçilmedi</v>
      </c>
      <c r="B150" s="37" t="str">
        <f aca="false">IF($A150="Seçildi",IF('1-Ders Havuzu'!C50="","",'1-Ders Havuzu'!C50),"")</f>
        <v/>
      </c>
      <c r="C150" s="38" t="str">
        <f aca="false">IF($A150="Seçildi",IF('1-Ders Havuzu'!D50="","",'1-Ders Havuzu'!D50),"")</f>
        <v/>
      </c>
      <c r="D150" s="37" t="str">
        <f aca="false">IF($A150="Seçildi",IF('1-Ders Havuzu'!B50="","",'1-Ders Havuzu'!B50),"")</f>
        <v/>
      </c>
      <c r="E150" s="37" t="str">
        <f aca="false">IF($A150="Seçildi",IF('1-Ders Havuzu'!A50="","",'1-Ders Havuzu'!A50),"")</f>
        <v/>
      </c>
      <c r="F150" s="37" t="str">
        <f aca="false">IF($A150="Seçildi",IF('1-Ders Havuzu'!H50="","",'1-Ders Havuzu'!H50),"")</f>
        <v/>
      </c>
      <c r="G150" s="37" t="str">
        <f aca="false">IF($A150="Seçildi",IF('2-Ders-Öğr.Elemanı Eşleştirme'!H50="","",'2-Ders-Öğr.Elemanı Eşleştirme'!H50),"")</f>
        <v/>
      </c>
      <c r="H150" s="39" t="n">
        <v>3</v>
      </c>
      <c r="I150" s="36"/>
      <c r="J150" s="36"/>
      <c r="K150" s="36"/>
      <c r="L150" s="36"/>
      <c r="M150" s="37" t="str">
        <f aca="false">IF($J150="","",MATCH($J150,{"08.00";"09.00";"10.00";"11.00";"12.00";"13.00";"14.00";"15.00";"16.00";"17.00"},0))</f>
        <v/>
      </c>
      <c r="N150" s="37" t="str">
        <f aca="false">IF(OR($M150="",$K150=""),"",$M150+$K150-1)</f>
        <v/>
      </c>
      <c r="O150" s="37" t="str">
        <f aca="false">IF($A150&lt;&gt;"Seçildi","",IF(OR($M150="",$N150=""),"",IF($N150&gt;10,"⚠ Saat Taşıyor","")))</f>
        <v/>
      </c>
      <c r="P150" s="37" t="str">
        <f aca="false">IF($A150&lt;&gt;"Seçildi","",IF(OR($G150="",$I150="",$M150=""),"",IF(SUMPRODUCT(($A$7:$A$456="Seçildi")*($G$7:$G$456=$G150)*($I$7:$I$456=$I150)*(ROW($A$7:$A$456)&lt;&gt;150)*($M$7:$M$456&lt;=$N150)*($N$7:$N$456&gt;=$M150))&gt;0,"⚠ Çakışma","OK")))</f>
        <v/>
      </c>
      <c r="Q150" s="37" t="str">
        <f aca="false">IF($A150&lt;&gt;"Seçildi","",IF(OR($L150="",$I150="",$M150=""),"",IF(SUMPRODUCT(($A$7:$A$456="Seçildi")*($L$7:$L$456=$L150)*($I$7:$I$456=$I150)*(ROW($A$7:$A$456)&lt;&gt;150)*($M$7:$M$456&lt;=$N150)*($N$7:$N$456&gt;=$M150))&gt;0,"⚠ Çakışma","OK")))</f>
        <v/>
      </c>
      <c r="R150" s="37" t="str">
        <f aca="false">IF($A150&lt;&gt;"Seçildi","",IF(OR($D150="",$I150="",$M150=""),"",IF(SUMPRODUCT(($A$7:$A$456="Seçildi")*($D$7:$D$456=$D150)*($I$7:$I$456=$I150)*(ROW($A$7:$A$456)&lt;&gt;150)*($M$7:$M$456&lt;=$N150)*($N$7:$N$456&gt;=$M150))&gt;0,"⚠ Çakışma","OK")))</f>
        <v/>
      </c>
      <c r="S150" s="37"/>
      <c r="T150" s="37" t="str">
        <f aca="false">IF(OR($A150&lt;&gt;"Seçildi",AND($I150="",$J150="")),"",IF(OR($O150&lt;&gt;"",$P150="⚠ Çakışma",$Q150="⚠ Çakışma",$R150="⚠ Çakışma"),"⚠ Kontrol Et","✓ Uygun"))</f>
        <v/>
      </c>
    </row>
    <row r="151" customFormat="false" ht="13.5" hidden="false" customHeight="true" outlineLevel="0" collapsed="false">
      <c r="A151" s="33" t="str">
        <f aca="false">'1-Ders Havuzu'!K51</f>
        <v>Seçilmedi</v>
      </c>
      <c r="B151" s="33" t="str">
        <f aca="false">IF($A151="Seçildi",IF('1-Ders Havuzu'!C51="","",'1-Ders Havuzu'!C51),"")</f>
        <v/>
      </c>
      <c r="C151" s="34" t="str">
        <f aca="false">IF($A151="Seçildi",IF('1-Ders Havuzu'!D51="","",'1-Ders Havuzu'!D51),"")</f>
        <v/>
      </c>
      <c r="D151" s="33" t="str">
        <f aca="false">IF($A151="Seçildi",IF('1-Ders Havuzu'!B51="","",'1-Ders Havuzu'!B51),"")</f>
        <v/>
      </c>
      <c r="E151" s="33" t="str">
        <f aca="false">IF($A151="Seçildi",IF('1-Ders Havuzu'!A51="","",'1-Ders Havuzu'!A51),"")</f>
        <v/>
      </c>
      <c r="F151" s="33" t="str">
        <f aca="false">IF($A151="Seçildi",IF('1-Ders Havuzu'!H51="","",'1-Ders Havuzu'!H51),"")</f>
        <v/>
      </c>
      <c r="G151" s="33" t="str">
        <f aca="false">IF($A151="Seçildi",IF('2-Ders-Öğr.Elemanı Eşleştirme'!H51="","",'2-Ders-Öğr.Elemanı Eşleştirme'!H51),"")</f>
        <v/>
      </c>
      <c r="H151" s="35" t="n">
        <v>1</v>
      </c>
      <c r="I151" s="36"/>
      <c r="J151" s="36"/>
      <c r="K151" s="36"/>
      <c r="L151" s="36"/>
      <c r="M151" s="33" t="str">
        <f aca="false">IF($J151="","",MATCH($J151,{"08.00";"09.00";"10.00";"11.00";"12.00";"13.00";"14.00";"15.00";"16.00";"17.00"},0))</f>
        <v/>
      </c>
      <c r="N151" s="33" t="str">
        <f aca="false">IF(OR($M151="",$K151=""),"",$M151+$K151-1)</f>
        <v/>
      </c>
      <c r="O151" s="33" t="str">
        <f aca="false">IF($A151&lt;&gt;"Seçildi","",IF(OR($M151="",$N151=""),"",IF($N151&gt;10,"⚠ Saat Taşıyor","")))</f>
        <v/>
      </c>
      <c r="P151" s="33" t="str">
        <f aca="false">IF($A151&lt;&gt;"Seçildi","",IF(OR($G151="",$I151="",$M151=""),"",IF(SUMPRODUCT(($A$7:$A$456="Seçildi")*($G$7:$G$456=$G151)*($I$7:$I$456=$I151)*(ROW($A$7:$A$456)&lt;&gt;151)*($M$7:$M$456&lt;=$N151)*($N$7:$N$456&gt;=$M151))&gt;0,"⚠ Çakışma","OK")))</f>
        <v/>
      </c>
      <c r="Q151" s="33" t="str">
        <f aca="false">IF($A151&lt;&gt;"Seçildi","",IF(OR($L151="",$I151="",$M151=""),"",IF(SUMPRODUCT(($A$7:$A$456="Seçildi")*($L$7:$L$456=$L151)*($I$7:$I$456=$I151)*(ROW($A$7:$A$456)&lt;&gt;151)*($M$7:$M$456&lt;=$N151)*($N$7:$N$456&gt;=$M151))&gt;0,"⚠ Çakışma","OK")))</f>
        <v/>
      </c>
      <c r="R151" s="33" t="str">
        <f aca="false">IF($A151&lt;&gt;"Seçildi","",IF(OR($D151="",$I151="",$M151=""),"",IF(SUMPRODUCT(($A$7:$A$456="Seçildi")*($D$7:$D$456=$D151)*($I$7:$I$456=$I151)*(ROW($A$7:$A$456)&lt;&gt;151)*($M$7:$M$456&lt;=$N151)*($N$7:$N$456&gt;=$M151))&gt;0,"⚠ Çakışma","OK")))</f>
        <v/>
      </c>
      <c r="S151" s="33" t="str">
        <f aca="false">IF($A151&lt;&gt;"Seçildi","",IF(SUM($K151,$K152,$K153)&lt;&gt;$F151,"⚠ Dağılım: "&amp;SUM($K151:$K153)&amp;"/"&amp;$F151&amp;" saat","✓ Tamam"))</f>
        <v/>
      </c>
      <c r="T151" s="33" t="str">
        <f aca="false">IF($A151&lt;&gt;"Seçildi","",IF(OR($O151&lt;&gt;"",$P151="⚠ Çakışma",$Q151="⚠ Çakışma",$R151="⚠ Çakışma",LEFT($S151&amp;" ",1)="⚠"),"⚠ Kontrol Et","✓ Uygun"))</f>
        <v/>
      </c>
    </row>
    <row r="152" customFormat="false" ht="13.5" hidden="false" customHeight="true" outlineLevel="0" collapsed="false">
      <c r="A152" s="33" t="str">
        <f aca="false">'1-Ders Havuzu'!K51</f>
        <v>Seçilmedi</v>
      </c>
      <c r="B152" s="33" t="str">
        <f aca="false">IF($A152="Seçildi",IF('1-Ders Havuzu'!C51="","",'1-Ders Havuzu'!C51),"")</f>
        <v/>
      </c>
      <c r="C152" s="34" t="str">
        <f aca="false">IF($A152="Seçildi",IF('1-Ders Havuzu'!D51="","",'1-Ders Havuzu'!D51),"")</f>
        <v/>
      </c>
      <c r="D152" s="33" t="str">
        <f aca="false">IF($A152="Seçildi",IF('1-Ders Havuzu'!B51="","",'1-Ders Havuzu'!B51),"")</f>
        <v/>
      </c>
      <c r="E152" s="33" t="str">
        <f aca="false">IF($A152="Seçildi",IF('1-Ders Havuzu'!A51="","",'1-Ders Havuzu'!A51),"")</f>
        <v/>
      </c>
      <c r="F152" s="33" t="str">
        <f aca="false">IF($A152="Seçildi",IF('1-Ders Havuzu'!H51="","",'1-Ders Havuzu'!H51),"")</f>
        <v/>
      </c>
      <c r="G152" s="33" t="str">
        <f aca="false">IF($A152="Seçildi",IF('2-Ders-Öğr.Elemanı Eşleştirme'!H51="","",'2-Ders-Öğr.Elemanı Eşleştirme'!H51),"")</f>
        <v/>
      </c>
      <c r="H152" s="35" t="n">
        <v>2</v>
      </c>
      <c r="I152" s="36"/>
      <c r="J152" s="36"/>
      <c r="K152" s="36"/>
      <c r="L152" s="36"/>
      <c r="M152" s="33" t="str">
        <f aca="false">IF($J152="","",MATCH($J152,{"08.00";"09.00";"10.00";"11.00";"12.00";"13.00";"14.00";"15.00";"16.00";"17.00"},0))</f>
        <v/>
      </c>
      <c r="N152" s="33" t="str">
        <f aca="false">IF(OR($M152="",$K152=""),"",$M152+$K152-1)</f>
        <v/>
      </c>
      <c r="O152" s="33" t="str">
        <f aca="false">IF($A152&lt;&gt;"Seçildi","",IF(OR($M152="",$N152=""),"",IF($N152&gt;10,"⚠ Saat Taşıyor","")))</f>
        <v/>
      </c>
      <c r="P152" s="33" t="str">
        <f aca="false">IF($A152&lt;&gt;"Seçildi","",IF(OR($G152="",$I152="",$M152=""),"",IF(SUMPRODUCT(($A$7:$A$456="Seçildi")*($G$7:$G$456=$G152)*($I$7:$I$456=$I152)*(ROW($A$7:$A$456)&lt;&gt;152)*($M$7:$M$456&lt;=$N152)*($N$7:$N$456&gt;=$M152))&gt;0,"⚠ Çakışma","OK")))</f>
        <v/>
      </c>
      <c r="Q152" s="33" t="str">
        <f aca="false">IF($A152&lt;&gt;"Seçildi","",IF(OR($L152="",$I152="",$M152=""),"",IF(SUMPRODUCT(($A$7:$A$456="Seçildi")*($L$7:$L$456=$L152)*($I$7:$I$456=$I152)*(ROW($A$7:$A$456)&lt;&gt;152)*($M$7:$M$456&lt;=$N152)*($N$7:$N$456&gt;=$M152))&gt;0,"⚠ Çakışma","OK")))</f>
        <v/>
      </c>
      <c r="R152" s="33" t="str">
        <f aca="false">IF($A152&lt;&gt;"Seçildi","",IF(OR($D152="",$I152="",$M152=""),"",IF(SUMPRODUCT(($A$7:$A$456="Seçildi")*($D$7:$D$456=$D152)*($I$7:$I$456=$I152)*(ROW($A$7:$A$456)&lt;&gt;152)*($M$7:$M$456&lt;=$N152)*($N$7:$N$456&gt;=$M152))&gt;0,"⚠ Çakışma","OK")))</f>
        <v/>
      </c>
      <c r="S152" s="33"/>
      <c r="T152" s="33" t="str">
        <f aca="false">IF(OR($A152&lt;&gt;"Seçildi",AND($I152="",$J152="")),"",IF(OR($O152&lt;&gt;"",$P152="⚠ Çakışma",$Q152="⚠ Çakışma",$R152="⚠ Çakışma"),"⚠ Kontrol Et","✓ Uygun"))</f>
        <v/>
      </c>
    </row>
    <row r="153" customFormat="false" ht="13.5" hidden="false" customHeight="true" outlineLevel="0" collapsed="false">
      <c r="A153" s="33" t="str">
        <f aca="false">'1-Ders Havuzu'!K51</f>
        <v>Seçilmedi</v>
      </c>
      <c r="B153" s="33" t="str">
        <f aca="false">IF($A153="Seçildi",IF('1-Ders Havuzu'!C51="","",'1-Ders Havuzu'!C51),"")</f>
        <v/>
      </c>
      <c r="C153" s="34" t="str">
        <f aca="false">IF($A153="Seçildi",IF('1-Ders Havuzu'!D51="","",'1-Ders Havuzu'!D51),"")</f>
        <v/>
      </c>
      <c r="D153" s="33" t="str">
        <f aca="false">IF($A153="Seçildi",IF('1-Ders Havuzu'!B51="","",'1-Ders Havuzu'!B51),"")</f>
        <v/>
      </c>
      <c r="E153" s="33" t="str">
        <f aca="false">IF($A153="Seçildi",IF('1-Ders Havuzu'!A51="","",'1-Ders Havuzu'!A51),"")</f>
        <v/>
      </c>
      <c r="F153" s="33" t="str">
        <f aca="false">IF($A153="Seçildi",IF('1-Ders Havuzu'!H51="","",'1-Ders Havuzu'!H51),"")</f>
        <v/>
      </c>
      <c r="G153" s="33" t="str">
        <f aca="false">IF($A153="Seçildi",IF('2-Ders-Öğr.Elemanı Eşleştirme'!H51="","",'2-Ders-Öğr.Elemanı Eşleştirme'!H51),"")</f>
        <v/>
      </c>
      <c r="H153" s="35" t="n">
        <v>3</v>
      </c>
      <c r="I153" s="36"/>
      <c r="J153" s="36"/>
      <c r="K153" s="36"/>
      <c r="L153" s="36"/>
      <c r="M153" s="33" t="str">
        <f aca="false">IF($J153="","",MATCH($J153,{"08.00";"09.00";"10.00";"11.00";"12.00";"13.00";"14.00";"15.00";"16.00";"17.00"},0))</f>
        <v/>
      </c>
      <c r="N153" s="33" t="str">
        <f aca="false">IF(OR($M153="",$K153=""),"",$M153+$K153-1)</f>
        <v/>
      </c>
      <c r="O153" s="33" t="str">
        <f aca="false">IF($A153&lt;&gt;"Seçildi","",IF(OR($M153="",$N153=""),"",IF($N153&gt;10,"⚠ Saat Taşıyor","")))</f>
        <v/>
      </c>
      <c r="P153" s="33" t="str">
        <f aca="false">IF($A153&lt;&gt;"Seçildi","",IF(OR($G153="",$I153="",$M153=""),"",IF(SUMPRODUCT(($A$7:$A$456="Seçildi")*($G$7:$G$456=$G153)*($I$7:$I$456=$I153)*(ROW($A$7:$A$456)&lt;&gt;153)*($M$7:$M$456&lt;=$N153)*($N$7:$N$456&gt;=$M153))&gt;0,"⚠ Çakışma","OK")))</f>
        <v/>
      </c>
      <c r="Q153" s="33" t="str">
        <f aca="false">IF($A153&lt;&gt;"Seçildi","",IF(OR($L153="",$I153="",$M153=""),"",IF(SUMPRODUCT(($A$7:$A$456="Seçildi")*($L$7:$L$456=$L153)*($I$7:$I$456=$I153)*(ROW($A$7:$A$456)&lt;&gt;153)*($M$7:$M$456&lt;=$N153)*($N$7:$N$456&gt;=$M153))&gt;0,"⚠ Çakışma","OK")))</f>
        <v/>
      </c>
      <c r="R153" s="33" t="str">
        <f aca="false">IF($A153&lt;&gt;"Seçildi","",IF(OR($D153="",$I153="",$M153=""),"",IF(SUMPRODUCT(($A$7:$A$456="Seçildi")*($D$7:$D$456=$D153)*($I$7:$I$456=$I153)*(ROW($A$7:$A$456)&lt;&gt;153)*($M$7:$M$456&lt;=$N153)*($N$7:$N$456&gt;=$M153))&gt;0,"⚠ Çakışma","OK")))</f>
        <v/>
      </c>
      <c r="S153" s="33"/>
      <c r="T153" s="33" t="str">
        <f aca="false">IF(OR($A153&lt;&gt;"Seçildi",AND($I153="",$J153="")),"",IF(OR($O153&lt;&gt;"",$P153="⚠ Çakışma",$Q153="⚠ Çakışma",$R153="⚠ Çakışma"),"⚠ Kontrol Et","✓ Uygun"))</f>
        <v/>
      </c>
    </row>
    <row r="154" customFormat="false" ht="13.5" hidden="false" customHeight="true" outlineLevel="0" collapsed="false">
      <c r="A154" s="37" t="str">
        <f aca="false">'1-Ders Havuzu'!K52</f>
        <v>Seçilmedi</v>
      </c>
      <c r="B154" s="37" t="str">
        <f aca="false">IF($A154="Seçildi",IF('1-Ders Havuzu'!C52="","",'1-Ders Havuzu'!C52),"")</f>
        <v/>
      </c>
      <c r="C154" s="38" t="str">
        <f aca="false">IF($A154="Seçildi",IF('1-Ders Havuzu'!D52="","",'1-Ders Havuzu'!D52),"")</f>
        <v/>
      </c>
      <c r="D154" s="37" t="str">
        <f aca="false">IF($A154="Seçildi",IF('1-Ders Havuzu'!B52="","",'1-Ders Havuzu'!B52),"")</f>
        <v/>
      </c>
      <c r="E154" s="37" t="str">
        <f aca="false">IF($A154="Seçildi",IF('1-Ders Havuzu'!A52="","",'1-Ders Havuzu'!A52),"")</f>
        <v/>
      </c>
      <c r="F154" s="37" t="str">
        <f aca="false">IF($A154="Seçildi",IF('1-Ders Havuzu'!H52="","",'1-Ders Havuzu'!H52),"")</f>
        <v/>
      </c>
      <c r="G154" s="37" t="str">
        <f aca="false">IF($A154="Seçildi",IF('2-Ders-Öğr.Elemanı Eşleştirme'!H52="","",'2-Ders-Öğr.Elemanı Eşleştirme'!H52),"")</f>
        <v/>
      </c>
      <c r="H154" s="39" t="n">
        <v>1</v>
      </c>
      <c r="I154" s="36"/>
      <c r="J154" s="36"/>
      <c r="K154" s="36"/>
      <c r="L154" s="36"/>
      <c r="M154" s="37" t="str">
        <f aca="false">IF($J154="","",MATCH($J154,{"08.00";"09.00";"10.00";"11.00";"12.00";"13.00";"14.00";"15.00";"16.00";"17.00"},0))</f>
        <v/>
      </c>
      <c r="N154" s="37" t="str">
        <f aca="false">IF(OR($M154="",$K154=""),"",$M154+$K154-1)</f>
        <v/>
      </c>
      <c r="O154" s="37" t="str">
        <f aca="false">IF($A154&lt;&gt;"Seçildi","",IF(OR($M154="",$N154=""),"",IF($N154&gt;10,"⚠ Saat Taşıyor","")))</f>
        <v/>
      </c>
      <c r="P154" s="37" t="str">
        <f aca="false">IF($A154&lt;&gt;"Seçildi","",IF(OR($G154="",$I154="",$M154=""),"",IF(SUMPRODUCT(($A$7:$A$456="Seçildi")*($G$7:$G$456=$G154)*($I$7:$I$456=$I154)*(ROW($A$7:$A$456)&lt;&gt;154)*($M$7:$M$456&lt;=$N154)*($N$7:$N$456&gt;=$M154))&gt;0,"⚠ Çakışma","OK")))</f>
        <v/>
      </c>
      <c r="Q154" s="37" t="str">
        <f aca="false">IF($A154&lt;&gt;"Seçildi","",IF(OR($L154="",$I154="",$M154=""),"",IF(SUMPRODUCT(($A$7:$A$456="Seçildi")*($L$7:$L$456=$L154)*($I$7:$I$456=$I154)*(ROW($A$7:$A$456)&lt;&gt;154)*($M$7:$M$456&lt;=$N154)*($N$7:$N$456&gt;=$M154))&gt;0,"⚠ Çakışma","OK")))</f>
        <v/>
      </c>
      <c r="R154" s="37" t="str">
        <f aca="false">IF($A154&lt;&gt;"Seçildi","",IF(OR($D154="",$I154="",$M154=""),"",IF(SUMPRODUCT(($A$7:$A$456="Seçildi")*($D$7:$D$456=$D154)*($I$7:$I$456=$I154)*(ROW($A$7:$A$456)&lt;&gt;154)*($M$7:$M$456&lt;=$N154)*($N$7:$N$456&gt;=$M154))&gt;0,"⚠ Çakışma","OK")))</f>
        <v/>
      </c>
      <c r="S154" s="37" t="str">
        <f aca="false">IF($A154&lt;&gt;"Seçildi","",IF(SUM($K154,$K155,$K156)&lt;&gt;$F154,"⚠ Dağılım: "&amp;SUM($K154:$K156)&amp;"/"&amp;$F154&amp;" saat","✓ Tamam"))</f>
        <v/>
      </c>
      <c r="T154" s="37" t="str">
        <f aca="false">IF($A154&lt;&gt;"Seçildi","",IF(OR($O154&lt;&gt;"",$P154="⚠ Çakışma",$Q154="⚠ Çakışma",$R154="⚠ Çakışma",LEFT($S154&amp;" ",1)="⚠"),"⚠ Kontrol Et","✓ Uygun"))</f>
        <v/>
      </c>
    </row>
    <row r="155" customFormat="false" ht="13.5" hidden="false" customHeight="true" outlineLevel="0" collapsed="false">
      <c r="A155" s="37" t="str">
        <f aca="false">'1-Ders Havuzu'!K52</f>
        <v>Seçilmedi</v>
      </c>
      <c r="B155" s="37" t="str">
        <f aca="false">IF($A155="Seçildi",IF('1-Ders Havuzu'!C52="","",'1-Ders Havuzu'!C52),"")</f>
        <v/>
      </c>
      <c r="C155" s="38" t="str">
        <f aca="false">IF($A155="Seçildi",IF('1-Ders Havuzu'!D52="","",'1-Ders Havuzu'!D52),"")</f>
        <v/>
      </c>
      <c r="D155" s="37" t="str">
        <f aca="false">IF($A155="Seçildi",IF('1-Ders Havuzu'!B52="","",'1-Ders Havuzu'!B52),"")</f>
        <v/>
      </c>
      <c r="E155" s="37" t="str">
        <f aca="false">IF($A155="Seçildi",IF('1-Ders Havuzu'!A52="","",'1-Ders Havuzu'!A52),"")</f>
        <v/>
      </c>
      <c r="F155" s="37" t="str">
        <f aca="false">IF($A155="Seçildi",IF('1-Ders Havuzu'!H52="","",'1-Ders Havuzu'!H52),"")</f>
        <v/>
      </c>
      <c r="G155" s="37" t="str">
        <f aca="false">IF($A155="Seçildi",IF('2-Ders-Öğr.Elemanı Eşleştirme'!H52="","",'2-Ders-Öğr.Elemanı Eşleştirme'!H52),"")</f>
        <v/>
      </c>
      <c r="H155" s="39" t="n">
        <v>2</v>
      </c>
      <c r="I155" s="36"/>
      <c r="J155" s="36"/>
      <c r="K155" s="36"/>
      <c r="L155" s="36"/>
      <c r="M155" s="37" t="str">
        <f aca="false">IF($J155="","",MATCH($J155,{"08.00";"09.00";"10.00";"11.00";"12.00";"13.00";"14.00";"15.00";"16.00";"17.00"},0))</f>
        <v/>
      </c>
      <c r="N155" s="37" t="str">
        <f aca="false">IF(OR($M155="",$K155=""),"",$M155+$K155-1)</f>
        <v/>
      </c>
      <c r="O155" s="37" t="str">
        <f aca="false">IF($A155&lt;&gt;"Seçildi","",IF(OR($M155="",$N155=""),"",IF($N155&gt;10,"⚠ Saat Taşıyor","")))</f>
        <v/>
      </c>
      <c r="P155" s="37" t="str">
        <f aca="false">IF($A155&lt;&gt;"Seçildi","",IF(OR($G155="",$I155="",$M155=""),"",IF(SUMPRODUCT(($A$7:$A$456="Seçildi")*($G$7:$G$456=$G155)*($I$7:$I$456=$I155)*(ROW($A$7:$A$456)&lt;&gt;155)*($M$7:$M$456&lt;=$N155)*($N$7:$N$456&gt;=$M155))&gt;0,"⚠ Çakışma","OK")))</f>
        <v/>
      </c>
      <c r="Q155" s="37" t="str">
        <f aca="false">IF($A155&lt;&gt;"Seçildi","",IF(OR($L155="",$I155="",$M155=""),"",IF(SUMPRODUCT(($A$7:$A$456="Seçildi")*($L$7:$L$456=$L155)*($I$7:$I$456=$I155)*(ROW($A$7:$A$456)&lt;&gt;155)*($M$7:$M$456&lt;=$N155)*($N$7:$N$456&gt;=$M155))&gt;0,"⚠ Çakışma","OK")))</f>
        <v/>
      </c>
      <c r="R155" s="37" t="str">
        <f aca="false">IF($A155&lt;&gt;"Seçildi","",IF(OR($D155="",$I155="",$M155=""),"",IF(SUMPRODUCT(($A$7:$A$456="Seçildi")*($D$7:$D$456=$D155)*($I$7:$I$456=$I155)*(ROW($A$7:$A$456)&lt;&gt;155)*($M$7:$M$456&lt;=$N155)*($N$7:$N$456&gt;=$M155))&gt;0,"⚠ Çakışma","OK")))</f>
        <v/>
      </c>
      <c r="S155" s="37"/>
      <c r="T155" s="37" t="str">
        <f aca="false">IF(OR($A155&lt;&gt;"Seçildi",AND($I155="",$J155="")),"",IF(OR($O155&lt;&gt;"",$P155="⚠ Çakışma",$Q155="⚠ Çakışma",$R155="⚠ Çakışma"),"⚠ Kontrol Et","✓ Uygun"))</f>
        <v/>
      </c>
    </row>
    <row r="156" customFormat="false" ht="13.5" hidden="false" customHeight="true" outlineLevel="0" collapsed="false">
      <c r="A156" s="37" t="str">
        <f aca="false">'1-Ders Havuzu'!K52</f>
        <v>Seçilmedi</v>
      </c>
      <c r="B156" s="37" t="str">
        <f aca="false">IF($A156="Seçildi",IF('1-Ders Havuzu'!C52="","",'1-Ders Havuzu'!C52),"")</f>
        <v/>
      </c>
      <c r="C156" s="38" t="str">
        <f aca="false">IF($A156="Seçildi",IF('1-Ders Havuzu'!D52="","",'1-Ders Havuzu'!D52),"")</f>
        <v/>
      </c>
      <c r="D156" s="37" t="str">
        <f aca="false">IF($A156="Seçildi",IF('1-Ders Havuzu'!B52="","",'1-Ders Havuzu'!B52),"")</f>
        <v/>
      </c>
      <c r="E156" s="37" t="str">
        <f aca="false">IF($A156="Seçildi",IF('1-Ders Havuzu'!A52="","",'1-Ders Havuzu'!A52),"")</f>
        <v/>
      </c>
      <c r="F156" s="37" t="str">
        <f aca="false">IF($A156="Seçildi",IF('1-Ders Havuzu'!H52="","",'1-Ders Havuzu'!H52),"")</f>
        <v/>
      </c>
      <c r="G156" s="37" t="str">
        <f aca="false">IF($A156="Seçildi",IF('2-Ders-Öğr.Elemanı Eşleştirme'!H52="","",'2-Ders-Öğr.Elemanı Eşleştirme'!H52),"")</f>
        <v/>
      </c>
      <c r="H156" s="39" t="n">
        <v>3</v>
      </c>
      <c r="I156" s="36"/>
      <c r="J156" s="36"/>
      <c r="K156" s="36"/>
      <c r="L156" s="36"/>
      <c r="M156" s="37" t="str">
        <f aca="false">IF($J156="","",MATCH($J156,{"08.00";"09.00";"10.00";"11.00";"12.00";"13.00";"14.00";"15.00";"16.00";"17.00"},0))</f>
        <v/>
      </c>
      <c r="N156" s="37" t="str">
        <f aca="false">IF(OR($M156="",$K156=""),"",$M156+$K156-1)</f>
        <v/>
      </c>
      <c r="O156" s="37" t="str">
        <f aca="false">IF($A156&lt;&gt;"Seçildi","",IF(OR($M156="",$N156=""),"",IF($N156&gt;10,"⚠ Saat Taşıyor","")))</f>
        <v/>
      </c>
      <c r="P156" s="37" t="str">
        <f aca="false">IF($A156&lt;&gt;"Seçildi","",IF(OR($G156="",$I156="",$M156=""),"",IF(SUMPRODUCT(($A$7:$A$456="Seçildi")*($G$7:$G$456=$G156)*($I$7:$I$456=$I156)*(ROW($A$7:$A$456)&lt;&gt;156)*($M$7:$M$456&lt;=$N156)*($N$7:$N$456&gt;=$M156))&gt;0,"⚠ Çakışma","OK")))</f>
        <v/>
      </c>
      <c r="Q156" s="37" t="str">
        <f aca="false">IF($A156&lt;&gt;"Seçildi","",IF(OR($L156="",$I156="",$M156=""),"",IF(SUMPRODUCT(($A$7:$A$456="Seçildi")*($L$7:$L$456=$L156)*($I$7:$I$456=$I156)*(ROW($A$7:$A$456)&lt;&gt;156)*($M$7:$M$456&lt;=$N156)*($N$7:$N$456&gt;=$M156))&gt;0,"⚠ Çakışma","OK")))</f>
        <v/>
      </c>
      <c r="R156" s="37" t="str">
        <f aca="false">IF($A156&lt;&gt;"Seçildi","",IF(OR($D156="",$I156="",$M156=""),"",IF(SUMPRODUCT(($A$7:$A$456="Seçildi")*($D$7:$D$456=$D156)*($I$7:$I$456=$I156)*(ROW($A$7:$A$456)&lt;&gt;156)*($M$7:$M$456&lt;=$N156)*($N$7:$N$456&gt;=$M156))&gt;0,"⚠ Çakışma","OK")))</f>
        <v/>
      </c>
      <c r="S156" s="37"/>
      <c r="T156" s="37" t="str">
        <f aca="false">IF(OR($A156&lt;&gt;"Seçildi",AND($I156="",$J156="")),"",IF(OR($O156&lt;&gt;"",$P156="⚠ Çakışma",$Q156="⚠ Çakışma",$R156="⚠ Çakışma"),"⚠ Kontrol Et","✓ Uygun"))</f>
        <v/>
      </c>
    </row>
    <row r="157" customFormat="false" ht="13.5" hidden="false" customHeight="true" outlineLevel="0" collapsed="false">
      <c r="A157" s="33" t="str">
        <f aca="false">'1-Ders Havuzu'!K53</f>
        <v>Seçilmedi</v>
      </c>
      <c r="B157" s="33" t="str">
        <f aca="false">IF($A157="Seçildi",IF('1-Ders Havuzu'!C53="","",'1-Ders Havuzu'!C53),"")</f>
        <v/>
      </c>
      <c r="C157" s="34" t="str">
        <f aca="false">IF($A157="Seçildi",IF('1-Ders Havuzu'!D53="","",'1-Ders Havuzu'!D53),"")</f>
        <v/>
      </c>
      <c r="D157" s="33" t="str">
        <f aca="false">IF($A157="Seçildi",IF('1-Ders Havuzu'!B53="","",'1-Ders Havuzu'!B53),"")</f>
        <v/>
      </c>
      <c r="E157" s="33" t="str">
        <f aca="false">IF($A157="Seçildi",IF('1-Ders Havuzu'!A53="","",'1-Ders Havuzu'!A53),"")</f>
        <v/>
      </c>
      <c r="F157" s="33" t="str">
        <f aca="false">IF($A157="Seçildi",IF('1-Ders Havuzu'!H53="","",'1-Ders Havuzu'!H53),"")</f>
        <v/>
      </c>
      <c r="G157" s="33" t="str">
        <f aca="false">IF($A157="Seçildi",IF('2-Ders-Öğr.Elemanı Eşleştirme'!H53="","",'2-Ders-Öğr.Elemanı Eşleştirme'!H53),"")</f>
        <v/>
      </c>
      <c r="H157" s="35" t="n">
        <v>1</v>
      </c>
      <c r="I157" s="36"/>
      <c r="J157" s="36"/>
      <c r="K157" s="36"/>
      <c r="L157" s="36"/>
      <c r="M157" s="33" t="str">
        <f aca="false">IF($J157="","",MATCH($J157,{"08.00";"09.00";"10.00";"11.00";"12.00";"13.00";"14.00";"15.00";"16.00";"17.00"},0))</f>
        <v/>
      </c>
      <c r="N157" s="33" t="str">
        <f aca="false">IF(OR($M157="",$K157=""),"",$M157+$K157-1)</f>
        <v/>
      </c>
      <c r="O157" s="33" t="str">
        <f aca="false">IF($A157&lt;&gt;"Seçildi","",IF(OR($M157="",$N157=""),"",IF($N157&gt;10,"⚠ Saat Taşıyor","")))</f>
        <v/>
      </c>
      <c r="P157" s="33" t="str">
        <f aca="false">IF($A157&lt;&gt;"Seçildi","",IF(OR($G157="",$I157="",$M157=""),"",IF(SUMPRODUCT(($A$7:$A$456="Seçildi")*($G$7:$G$456=$G157)*($I$7:$I$456=$I157)*(ROW($A$7:$A$456)&lt;&gt;157)*($M$7:$M$456&lt;=$N157)*($N$7:$N$456&gt;=$M157))&gt;0,"⚠ Çakışma","OK")))</f>
        <v/>
      </c>
      <c r="Q157" s="33" t="str">
        <f aca="false">IF($A157&lt;&gt;"Seçildi","",IF(OR($L157="",$I157="",$M157=""),"",IF(SUMPRODUCT(($A$7:$A$456="Seçildi")*($L$7:$L$456=$L157)*($I$7:$I$456=$I157)*(ROW($A$7:$A$456)&lt;&gt;157)*($M$7:$M$456&lt;=$N157)*($N$7:$N$456&gt;=$M157))&gt;0,"⚠ Çakışma","OK")))</f>
        <v/>
      </c>
      <c r="R157" s="33" t="str">
        <f aca="false">IF($A157&lt;&gt;"Seçildi","",IF(OR($D157="",$I157="",$M157=""),"",IF(SUMPRODUCT(($A$7:$A$456="Seçildi")*($D$7:$D$456=$D157)*($I$7:$I$456=$I157)*(ROW($A$7:$A$456)&lt;&gt;157)*($M$7:$M$456&lt;=$N157)*($N$7:$N$456&gt;=$M157))&gt;0,"⚠ Çakışma","OK")))</f>
        <v/>
      </c>
      <c r="S157" s="33" t="str">
        <f aca="false">IF($A157&lt;&gt;"Seçildi","",IF(SUM($K157,$K158,$K159)&lt;&gt;$F157,"⚠ Dağılım: "&amp;SUM($K157:$K159)&amp;"/"&amp;$F157&amp;" saat","✓ Tamam"))</f>
        <v/>
      </c>
      <c r="T157" s="33" t="str">
        <f aca="false">IF($A157&lt;&gt;"Seçildi","",IF(OR($O157&lt;&gt;"",$P157="⚠ Çakışma",$Q157="⚠ Çakışma",$R157="⚠ Çakışma",LEFT($S157&amp;" ",1)="⚠"),"⚠ Kontrol Et","✓ Uygun"))</f>
        <v/>
      </c>
    </row>
    <row r="158" customFormat="false" ht="13.5" hidden="false" customHeight="true" outlineLevel="0" collapsed="false">
      <c r="A158" s="33" t="str">
        <f aca="false">'1-Ders Havuzu'!K53</f>
        <v>Seçilmedi</v>
      </c>
      <c r="B158" s="33" t="str">
        <f aca="false">IF($A158="Seçildi",IF('1-Ders Havuzu'!C53="","",'1-Ders Havuzu'!C53),"")</f>
        <v/>
      </c>
      <c r="C158" s="34" t="str">
        <f aca="false">IF($A158="Seçildi",IF('1-Ders Havuzu'!D53="","",'1-Ders Havuzu'!D53),"")</f>
        <v/>
      </c>
      <c r="D158" s="33" t="str">
        <f aca="false">IF($A158="Seçildi",IF('1-Ders Havuzu'!B53="","",'1-Ders Havuzu'!B53),"")</f>
        <v/>
      </c>
      <c r="E158" s="33" t="str">
        <f aca="false">IF($A158="Seçildi",IF('1-Ders Havuzu'!A53="","",'1-Ders Havuzu'!A53),"")</f>
        <v/>
      </c>
      <c r="F158" s="33" t="str">
        <f aca="false">IF($A158="Seçildi",IF('1-Ders Havuzu'!H53="","",'1-Ders Havuzu'!H53),"")</f>
        <v/>
      </c>
      <c r="G158" s="33" t="str">
        <f aca="false">IF($A158="Seçildi",IF('2-Ders-Öğr.Elemanı Eşleştirme'!H53="","",'2-Ders-Öğr.Elemanı Eşleştirme'!H53),"")</f>
        <v/>
      </c>
      <c r="H158" s="35" t="n">
        <v>2</v>
      </c>
      <c r="I158" s="36"/>
      <c r="J158" s="36"/>
      <c r="K158" s="36"/>
      <c r="L158" s="36"/>
      <c r="M158" s="33" t="str">
        <f aca="false">IF($J158="","",MATCH($J158,{"08.00";"09.00";"10.00";"11.00";"12.00";"13.00";"14.00";"15.00";"16.00";"17.00"},0))</f>
        <v/>
      </c>
      <c r="N158" s="33" t="str">
        <f aca="false">IF(OR($M158="",$K158=""),"",$M158+$K158-1)</f>
        <v/>
      </c>
      <c r="O158" s="33" t="str">
        <f aca="false">IF($A158&lt;&gt;"Seçildi","",IF(OR($M158="",$N158=""),"",IF($N158&gt;10,"⚠ Saat Taşıyor","")))</f>
        <v/>
      </c>
      <c r="P158" s="33" t="str">
        <f aca="false">IF($A158&lt;&gt;"Seçildi","",IF(OR($G158="",$I158="",$M158=""),"",IF(SUMPRODUCT(($A$7:$A$456="Seçildi")*($G$7:$G$456=$G158)*($I$7:$I$456=$I158)*(ROW($A$7:$A$456)&lt;&gt;158)*($M$7:$M$456&lt;=$N158)*($N$7:$N$456&gt;=$M158))&gt;0,"⚠ Çakışma","OK")))</f>
        <v/>
      </c>
      <c r="Q158" s="33" t="str">
        <f aca="false">IF($A158&lt;&gt;"Seçildi","",IF(OR($L158="",$I158="",$M158=""),"",IF(SUMPRODUCT(($A$7:$A$456="Seçildi")*($L$7:$L$456=$L158)*($I$7:$I$456=$I158)*(ROW($A$7:$A$456)&lt;&gt;158)*($M$7:$M$456&lt;=$N158)*($N$7:$N$456&gt;=$M158))&gt;0,"⚠ Çakışma","OK")))</f>
        <v/>
      </c>
      <c r="R158" s="33" t="str">
        <f aca="false">IF($A158&lt;&gt;"Seçildi","",IF(OR($D158="",$I158="",$M158=""),"",IF(SUMPRODUCT(($A$7:$A$456="Seçildi")*($D$7:$D$456=$D158)*($I$7:$I$456=$I158)*(ROW($A$7:$A$456)&lt;&gt;158)*($M$7:$M$456&lt;=$N158)*($N$7:$N$456&gt;=$M158))&gt;0,"⚠ Çakışma","OK")))</f>
        <v/>
      </c>
      <c r="S158" s="33"/>
      <c r="T158" s="33" t="str">
        <f aca="false">IF(OR($A158&lt;&gt;"Seçildi",AND($I158="",$J158="")),"",IF(OR($O158&lt;&gt;"",$P158="⚠ Çakışma",$Q158="⚠ Çakışma",$R158="⚠ Çakışma"),"⚠ Kontrol Et","✓ Uygun"))</f>
        <v/>
      </c>
    </row>
    <row r="159" customFormat="false" ht="13.5" hidden="false" customHeight="true" outlineLevel="0" collapsed="false">
      <c r="A159" s="33" t="str">
        <f aca="false">'1-Ders Havuzu'!K53</f>
        <v>Seçilmedi</v>
      </c>
      <c r="B159" s="33" t="str">
        <f aca="false">IF($A159="Seçildi",IF('1-Ders Havuzu'!C53="","",'1-Ders Havuzu'!C53),"")</f>
        <v/>
      </c>
      <c r="C159" s="34" t="str">
        <f aca="false">IF($A159="Seçildi",IF('1-Ders Havuzu'!D53="","",'1-Ders Havuzu'!D53),"")</f>
        <v/>
      </c>
      <c r="D159" s="33" t="str">
        <f aca="false">IF($A159="Seçildi",IF('1-Ders Havuzu'!B53="","",'1-Ders Havuzu'!B53),"")</f>
        <v/>
      </c>
      <c r="E159" s="33" t="str">
        <f aca="false">IF($A159="Seçildi",IF('1-Ders Havuzu'!A53="","",'1-Ders Havuzu'!A53),"")</f>
        <v/>
      </c>
      <c r="F159" s="33" t="str">
        <f aca="false">IF($A159="Seçildi",IF('1-Ders Havuzu'!H53="","",'1-Ders Havuzu'!H53),"")</f>
        <v/>
      </c>
      <c r="G159" s="33" t="str">
        <f aca="false">IF($A159="Seçildi",IF('2-Ders-Öğr.Elemanı Eşleştirme'!H53="","",'2-Ders-Öğr.Elemanı Eşleştirme'!H53),"")</f>
        <v/>
      </c>
      <c r="H159" s="35" t="n">
        <v>3</v>
      </c>
      <c r="I159" s="36"/>
      <c r="J159" s="36"/>
      <c r="K159" s="36"/>
      <c r="L159" s="36"/>
      <c r="M159" s="33" t="str">
        <f aca="false">IF($J159="","",MATCH($J159,{"08.00";"09.00";"10.00";"11.00";"12.00";"13.00";"14.00";"15.00";"16.00";"17.00"},0))</f>
        <v/>
      </c>
      <c r="N159" s="33" t="str">
        <f aca="false">IF(OR($M159="",$K159=""),"",$M159+$K159-1)</f>
        <v/>
      </c>
      <c r="O159" s="33" t="str">
        <f aca="false">IF($A159&lt;&gt;"Seçildi","",IF(OR($M159="",$N159=""),"",IF($N159&gt;10,"⚠ Saat Taşıyor","")))</f>
        <v/>
      </c>
      <c r="P159" s="33" t="str">
        <f aca="false">IF($A159&lt;&gt;"Seçildi","",IF(OR($G159="",$I159="",$M159=""),"",IF(SUMPRODUCT(($A$7:$A$456="Seçildi")*($G$7:$G$456=$G159)*($I$7:$I$456=$I159)*(ROW($A$7:$A$456)&lt;&gt;159)*($M$7:$M$456&lt;=$N159)*($N$7:$N$456&gt;=$M159))&gt;0,"⚠ Çakışma","OK")))</f>
        <v/>
      </c>
      <c r="Q159" s="33" t="str">
        <f aca="false">IF($A159&lt;&gt;"Seçildi","",IF(OR($L159="",$I159="",$M159=""),"",IF(SUMPRODUCT(($A$7:$A$456="Seçildi")*($L$7:$L$456=$L159)*($I$7:$I$456=$I159)*(ROW($A$7:$A$456)&lt;&gt;159)*($M$7:$M$456&lt;=$N159)*($N$7:$N$456&gt;=$M159))&gt;0,"⚠ Çakışma","OK")))</f>
        <v/>
      </c>
      <c r="R159" s="33" t="str">
        <f aca="false">IF($A159&lt;&gt;"Seçildi","",IF(OR($D159="",$I159="",$M159=""),"",IF(SUMPRODUCT(($A$7:$A$456="Seçildi")*($D$7:$D$456=$D159)*($I$7:$I$456=$I159)*(ROW($A$7:$A$456)&lt;&gt;159)*($M$7:$M$456&lt;=$N159)*($N$7:$N$456&gt;=$M159))&gt;0,"⚠ Çakışma","OK")))</f>
        <v/>
      </c>
      <c r="S159" s="33"/>
      <c r="T159" s="33" t="str">
        <f aca="false">IF(OR($A159&lt;&gt;"Seçildi",AND($I159="",$J159="")),"",IF(OR($O159&lt;&gt;"",$P159="⚠ Çakışma",$Q159="⚠ Çakışma",$R159="⚠ Çakışma"),"⚠ Kontrol Et","✓ Uygun"))</f>
        <v/>
      </c>
    </row>
    <row r="160" customFormat="false" ht="13.5" hidden="false" customHeight="true" outlineLevel="0" collapsed="false">
      <c r="A160" s="37" t="str">
        <f aca="false">'1-Ders Havuzu'!K54</f>
        <v>Seçilmedi</v>
      </c>
      <c r="B160" s="37" t="str">
        <f aca="false">IF($A160="Seçildi",IF('1-Ders Havuzu'!C54="","",'1-Ders Havuzu'!C54),"")</f>
        <v/>
      </c>
      <c r="C160" s="38" t="str">
        <f aca="false">IF($A160="Seçildi",IF('1-Ders Havuzu'!D54="","",'1-Ders Havuzu'!D54),"")</f>
        <v/>
      </c>
      <c r="D160" s="37" t="str">
        <f aca="false">IF($A160="Seçildi",IF('1-Ders Havuzu'!B54="","",'1-Ders Havuzu'!B54),"")</f>
        <v/>
      </c>
      <c r="E160" s="37" t="str">
        <f aca="false">IF($A160="Seçildi",IF('1-Ders Havuzu'!A54="","",'1-Ders Havuzu'!A54),"")</f>
        <v/>
      </c>
      <c r="F160" s="37" t="str">
        <f aca="false">IF($A160="Seçildi",IF('1-Ders Havuzu'!H54="","",'1-Ders Havuzu'!H54),"")</f>
        <v/>
      </c>
      <c r="G160" s="37" t="str">
        <f aca="false">IF($A160="Seçildi",IF('2-Ders-Öğr.Elemanı Eşleştirme'!H54="","",'2-Ders-Öğr.Elemanı Eşleştirme'!H54),"")</f>
        <v/>
      </c>
      <c r="H160" s="39" t="n">
        <v>1</v>
      </c>
      <c r="I160" s="36"/>
      <c r="J160" s="36"/>
      <c r="K160" s="36"/>
      <c r="L160" s="36"/>
      <c r="M160" s="37" t="str">
        <f aca="false">IF($J160="","",MATCH($J160,{"08.00";"09.00";"10.00";"11.00";"12.00";"13.00";"14.00";"15.00";"16.00";"17.00"},0))</f>
        <v/>
      </c>
      <c r="N160" s="37" t="str">
        <f aca="false">IF(OR($M160="",$K160=""),"",$M160+$K160-1)</f>
        <v/>
      </c>
      <c r="O160" s="37" t="str">
        <f aca="false">IF($A160&lt;&gt;"Seçildi","",IF(OR($M160="",$N160=""),"",IF($N160&gt;10,"⚠ Saat Taşıyor","")))</f>
        <v/>
      </c>
      <c r="P160" s="37" t="str">
        <f aca="false">IF($A160&lt;&gt;"Seçildi","",IF(OR($G160="",$I160="",$M160=""),"",IF(SUMPRODUCT(($A$7:$A$456="Seçildi")*($G$7:$G$456=$G160)*($I$7:$I$456=$I160)*(ROW($A$7:$A$456)&lt;&gt;160)*($M$7:$M$456&lt;=$N160)*($N$7:$N$456&gt;=$M160))&gt;0,"⚠ Çakışma","OK")))</f>
        <v/>
      </c>
      <c r="Q160" s="37" t="str">
        <f aca="false">IF($A160&lt;&gt;"Seçildi","",IF(OR($L160="",$I160="",$M160=""),"",IF(SUMPRODUCT(($A$7:$A$456="Seçildi")*($L$7:$L$456=$L160)*($I$7:$I$456=$I160)*(ROW($A$7:$A$456)&lt;&gt;160)*($M$7:$M$456&lt;=$N160)*($N$7:$N$456&gt;=$M160))&gt;0,"⚠ Çakışma","OK")))</f>
        <v/>
      </c>
      <c r="R160" s="37" t="str">
        <f aca="false">IF($A160&lt;&gt;"Seçildi","",IF(OR($D160="",$I160="",$M160=""),"",IF(SUMPRODUCT(($A$7:$A$456="Seçildi")*($D$7:$D$456=$D160)*($I$7:$I$456=$I160)*(ROW($A$7:$A$456)&lt;&gt;160)*($M$7:$M$456&lt;=$N160)*($N$7:$N$456&gt;=$M160))&gt;0,"⚠ Çakışma","OK")))</f>
        <v/>
      </c>
      <c r="S160" s="37" t="str">
        <f aca="false">IF($A160&lt;&gt;"Seçildi","",IF(SUM($K160,$K161,$K162)&lt;&gt;$F160,"⚠ Dağılım: "&amp;SUM($K160:$K162)&amp;"/"&amp;$F160&amp;" saat","✓ Tamam"))</f>
        <v/>
      </c>
      <c r="T160" s="37" t="str">
        <f aca="false">IF($A160&lt;&gt;"Seçildi","",IF(OR($O160&lt;&gt;"",$P160="⚠ Çakışma",$Q160="⚠ Çakışma",$R160="⚠ Çakışma",LEFT($S160&amp;" ",1)="⚠"),"⚠ Kontrol Et","✓ Uygun"))</f>
        <v/>
      </c>
    </row>
    <row r="161" customFormat="false" ht="13.5" hidden="false" customHeight="true" outlineLevel="0" collapsed="false">
      <c r="A161" s="37" t="str">
        <f aca="false">'1-Ders Havuzu'!K54</f>
        <v>Seçilmedi</v>
      </c>
      <c r="B161" s="37" t="str">
        <f aca="false">IF($A161="Seçildi",IF('1-Ders Havuzu'!C54="","",'1-Ders Havuzu'!C54),"")</f>
        <v/>
      </c>
      <c r="C161" s="38" t="str">
        <f aca="false">IF($A161="Seçildi",IF('1-Ders Havuzu'!D54="","",'1-Ders Havuzu'!D54),"")</f>
        <v/>
      </c>
      <c r="D161" s="37" t="str">
        <f aca="false">IF($A161="Seçildi",IF('1-Ders Havuzu'!B54="","",'1-Ders Havuzu'!B54),"")</f>
        <v/>
      </c>
      <c r="E161" s="37" t="str">
        <f aca="false">IF($A161="Seçildi",IF('1-Ders Havuzu'!A54="","",'1-Ders Havuzu'!A54),"")</f>
        <v/>
      </c>
      <c r="F161" s="37" t="str">
        <f aca="false">IF($A161="Seçildi",IF('1-Ders Havuzu'!H54="","",'1-Ders Havuzu'!H54),"")</f>
        <v/>
      </c>
      <c r="G161" s="37" t="str">
        <f aca="false">IF($A161="Seçildi",IF('2-Ders-Öğr.Elemanı Eşleştirme'!H54="","",'2-Ders-Öğr.Elemanı Eşleştirme'!H54),"")</f>
        <v/>
      </c>
      <c r="H161" s="39" t="n">
        <v>2</v>
      </c>
      <c r="I161" s="36"/>
      <c r="J161" s="36"/>
      <c r="K161" s="36"/>
      <c r="L161" s="36"/>
      <c r="M161" s="37" t="str">
        <f aca="false">IF($J161="","",MATCH($J161,{"08.00";"09.00";"10.00";"11.00";"12.00";"13.00";"14.00";"15.00";"16.00";"17.00"},0))</f>
        <v/>
      </c>
      <c r="N161" s="37" t="str">
        <f aca="false">IF(OR($M161="",$K161=""),"",$M161+$K161-1)</f>
        <v/>
      </c>
      <c r="O161" s="37" t="str">
        <f aca="false">IF($A161&lt;&gt;"Seçildi","",IF(OR($M161="",$N161=""),"",IF($N161&gt;10,"⚠ Saat Taşıyor","")))</f>
        <v/>
      </c>
      <c r="P161" s="37" t="str">
        <f aca="false">IF($A161&lt;&gt;"Seçildi","",IF(OR($G161="",$I161="",$M161=""),"",IF(SUMPRODUCT(($A$7:$A$456="Seçildi")*($G$7:$G$456=$G161)*($I$7:$I$456=$I161)*(ROW($A$7:$A$456)&lt;&gt;161)*($M$7:$M$456&lt;=$N161)*($N$7:$N$456&gt;=$M161))&gt;0,"⚠ Çakışma","OK")))</f>
        <v/>
      </c>
      <c r="Q161" s="37" t="str">
        <f aca="false">IF($A161&lt;&gt;"Seçildi","",IF(OR($L161="",$I161="",$M161=""),"",IF(SUMPRODUCT(($A$7:$A$456="Seçildi")*($L$7:$L$456=$L161)*($I$7:$I$456=$I161)*(ROW($A$7:$A$456)&lt;&gt;161)*($M$7:$M$456&lt;=$N161)*($N$7:$N$456&gt;=$M161))&gt;0,"⚠ Çakışma","OK")))</f>
        <v/>
      </c>
      <c r="R161" s="37" t="str">
        <f aca="false">IF($A161&lt;&gt;"Seçildi","",IF(OR($D161="",$I161="",$M161=""),"",IF(SUMPRODUCT(($A$7:$A$456="Seçildi")*($D$7:$D$456=$D161)*($I$7:$I$456=$I161)*(ROW($A$7:$A$456)&lt;&gt;161)*($M$7:$M$456&lt;=$N161)*($N$7:$N$456&gt;=$M161))&gt;0,"⚠ Çakışma","OK")))</f>
        <v/>
      </c>
      <c r="S161" s="37"/>
      <c r="T161" s="37" t="str">
        <f aca="false">IF(OR($A161&lt;&gt;"Seçildi",AND($I161="",$J161="")),"",IF(OR($O161&lt;&gt;"",$P161="⚠ Çakışma",$Q161="⚠ Çakışma",$R161="⚠ Çakışma"),"⚠ Kontrol Et","✓ Uygun"))</f>
        <v/>
      </c>
    </row>
    <row r="162" customFormat="false" ht="13.5" hidden="false" customHeight="true" outlineLevel="0" collapsed="false">
      <c r="A162" s="37" t="str">
        <f aca="false">'1-Ders Havuzu'!K54</f>
        <v>Seçilmedi</v>
      </c>
      <c r="B162" s="37" t="str">
        <f aca="false">IF($A162="Seçildi",IF('1-Ders Havuzu'!C54="","",'1-Ders Havuzu'!C54),"")</f>
        <v/>
      </c>
      <c r="C162" s="38" t="str">
        <f aca="false">IF($A162="Seçildi",IF('1-Ders Havuzu'!D54="","",'1-Ders Havuzu'!D54),"")</f>
        <v/>
      </c>
      <c r="D162" s="37" t="str">
        <f aca="false">IF($A162="Seçildi",IF('1-Ders Havuzu'!B54="","",'1-Ders Havuzu'!B54),"")</f>
        <v/>
      </c>
      <c r="E162" s="37" t="str">
        <f aca="false">IF($A162="Seçildi",IF('1-Ders Havuzu'!A54="","",'1-Ders Havuzu'!A54),"")</f>
        <v/>
      </c>
      <c r="F162" s="37" t="str">
        <f aca="false">IF($A162="Seçildi",IF('1-Ders Havuzu'!H54="","",'1-Ders Havuzu'!H54),"")</f>
        <v/>
      </c>
      <c r="G162" s="37" t="str">
        <f aca="false">IF($A162="Seçildi",IF('2-Ders-Öğr.Elemanı Eşleştirme'!H54="","",'2-Ders-Öğr.Elemanı Eşleştirme'!H54),"")</f>
        <v/>
      </c>
      <c r="H162" s="39" t="n">
        <v>3</v>
      </c>
      <c r="I162" s="36"/>
      <c r="J162" s="36"/>
      <c r="K162" s="36"/>
      <c r="L162" s="36"/>
      <c r="M162" s="37" t="str">
        <f aca="false">IF($J162="","",MATCH($J162,{"08.00";"09.00";"10.00";"11.00";"12.00";"13.00";"14.00";"15.00";"16.00";"17.00"},0))</f>
        <v/>
      </c>
      <c r="N162" s="37" t="str">
        <f aca="false">IF(OR($M162="",$K162=""),"",$M162+$K162-1)</f>
        <v/>
      </c>
      <c r="O162" s="37" t="str">
        <f aca="false">IF($A162&lt;&gt;"Seçildi","",IF(OR($M162="",$N162=""),"",IF($N162&gt;10,"⚠ Saat Taşıyor","")))</f>
        <v/>
      </c>
      <c r="P162" s="37" t="str">
        <f aca="false">IF($A162&lt;&gt;"Seçildi","",IF(OR($G162="",$I162="",$M162=""),"",IF(SUMPRODUCT(($A$7:$A$456="Seçildi")*($G$7:$G$456=$G162)*($I$7:$I$456=$I162)*(ROW($A$7:$A$456)&lt;&gt;162)*($M$7:$M$456&lt;=$N162)*($N$7:$N$456&gt;=$M162))&gt;0,"⚠ Çakışma","OK")))</f>
        <v/>
      </c>
      <c r="Q162" s="37" t="str">
        <f aca="false">IF($A162&lt;&gt;"Seçildi","",IF(OR($L162="",$I162="",$M162=""),"",IF(SUMPRODUCT(($A$7:$A$456="Seçildi")*($L$7:$L$456=$L162)*($I$7:$I$456=$I162)*(ROW($A$7:$A$456)&lt;&gt;162)*($M$7:$M$456&lt;=$N162)*($N$7:$N$456&gt;=$M162))&gt;0,"⚠ Çakışma","OK")))</f>
        <v/>
      </c>
      <c r="R162" s="37" t="str">
        <f aca="false">IF($A162&lt;&gt;"Seçildi","",IF(OR($D162="",$I162="",$M162=""),"",IF(SUMPRODUCT(($A$7:$A$456="Seçildi")*($D$7:$D$456=$D162)*($I$7:$I$456=$I162)*(ROW($A$7:$A$456)&lt;&gt;162)*($M$7:$M$456&lt;=$N162)*($N$7:$N$456&gt;=$M162))&gt;0,"⚠ Çakışma","OK")))</f>
        <v/>
      </c>
      <c r="S162" s="37"/>
      <c r="T162" s="37" t="str">
        <f aca="false">IF(OR($A162&lt;&gt;"Seçildi",AND($I162="",$J162="")),"",IF(OR($O162&lt;&gt;"",$P162="⚠ Çakışma",$Q162="⚠ Çakışma",$R162="⚠ Çakışma"),"⚠ Kontrol Et","✓ Uygun"))</f>
        <v/>
      </c>
    </row>
    <row r="163" customFormat="false" ht="13.5" hidden="false" customHeight="true" outlineLevel="0" collapsed="false">
      <c r="A163" s="33" t="str">
        <f aca="false">'1-Ders Havuzu'!K55</f>
        <v>Seçilmedi</v>
      </c>
      <c r="B163" s="33" t="str">
        <f aca="false">IF($A163="Seçildi",IF('1-Ders Havuzu'!C55="","",'1-Ders Havuzu'!C55),"")</f>
        <v/>
      </c>
      <c r="C163" s="34" t="str">
        <f aca="false">IF($A163="Seçildi",IF('1-Ders Havuzu'!D55="","",'1-Ders Havuzu'!D55),"")</f>
        <v/>
      </c>
      <c r="D163" s="33" t="str">
        <f aca="false">IF($A163="Seçildi",IF('1-Ders Havuzu'!B55="","",'1-Ders Havuzu'!B55),"")</f>
        <v/>
      </c>
      <c r="E163" s="33" t="str">
        <f aca="false">IF($A163="Seçildi",IF('1-Ders Havuzu'!A55="","",'1-Ders Havuzu'!A55),"")</f>
        <v/>
      </c>
      <c r="F163" s="33" t="str">
        <f aca="false">IF($A163="Seçildi",IF('1-Ders Havuzu'!H55="","",'1-Ders Havuzu'!H55),"")</f>
        <v/>
      </c>
      <c r="G163" s="33" t="str">
        <f aca="false">IF($A163="Seçildi",IF('2-Ders-Öğr.Elemanı Eşleştirme'!H55="","",'2-Ders-Öğr.Elemanı Eşleştirme'!H55),"")</f>
        <v/>
      </c>
      <c r="H163" s="35" t="n">
        <v>1</v>
      </c>
      <c r="I163" s="36"/>
      <c r="J163" s="36"/>
      <c r="K163" s="36"/>
      <c r="L163" s="36"/>
      <c r="M163" s="33" t="str">
        <f aca="false">IF($J163="","",MATCH($J163,{"08.00";"09.00";"10.00";"11.00";"12.00";"13.00";"14.00";"15.00";"16.00";"17.00"},0))</f>
        <v/>
      </c>
      <c r="N163" s="33" t="str">
        <f aca="false">IF(OR($M163="",$K163=""),"",$M163+$K163-1)</f>
        <v/>
      </c>
      <c r="O163" s="33" t="str">
        <f aca="false">IF($A163&lt;&gt;"Seçildi","",IF(OR($M163="",$N163=""),"",IF($N163&gt;10,"⚠ Saat Taşıyor","")))</f>
        <v/>
      </c>
      <c r="P163" s="33" t="str">
        <f aca="false">IF($A163&lt;&gt;"Seçildi","",IF(OR($G163="",$I163="",$M163=""),"",IF(SUMPRODUCT(($A$7:$A$456="Seçildi")*($G$7:$G$456=$G163)*($I$7:$I$456=$I163)*(ROW($A$7:$A$456)&lt;&gt;163)*($M$7:$M$456&lt;=$N163)*($N$7:$N$456&gt;=$M163))&gt;0,"⚠ Çakışma","OK")))</f>
        <v/>
      </c>
      <c r="Q163" s="33" t="str">
        <f aca="false">IF($A163&lt;&gt;"Seçildi","",IF(OR($L163="",$I163="",$M163=""),"",IF(SUMPRODUCT(($A$7:$A$456="Seçildi")*($L$7:$L$456=$L163)*($I$7:$I$456=$I163)*(ROW($A$7:$A$456)&lt;&gt;163)*($M$7:$M$456&lt;=$N163)*($N$7:$N$456&gt;=$M163))&gt;0,"⚠ Çakışma","OK")))</f>
        <v/>
      </c>
      <c r="R163" s="33" t="str">
        <f aca="false">IF($A163&lt;&gt;"Seçildi","",IF(OR($D163="",$I163="",$M163=""),"",IF(SUMPRODUCT(($A$7:$A$456="Seçildi")*($D$7:$D$456=$D163)*($I$7:$I$456=$I163)*(ROW($A$7:$A$456)&lt;&gt;163)*($M$7:$M$456&lt;=$N163)*($N$7:$N$456&gt;=$M163))&gt;0,"⚠ Çakışma","OK")))</f>
        <v/>
      </c>
      <c r="S163" s="33" t="str">
        <f aca="false">IF($A163&lt;&gt;"Seçildi","",IF(SUM($K163,$K164,$K165)&lt;&gt;$F163,"⚠ Dağılım: "&amp;SUM($K163:$K165)&amp;"/"&amp;$F163&amp;" saat","✓ Tamam"))</f>
        <v/>
      </c>
      <c r="T163" s="33" t="str">
        <f aca="false">IF($A163&lt;&gt;"Seçildi","",IF(OR($O163&lt;&gt;"",$P163="⚠ Çakışma",$Q163="⚠ Çakışma",$R163="⚠ Çakışma",LEFT($S163&amp;" ",1)="⚠"),"⚠ Kontrol Et","✓ Uygun"))</f>
        <v/>
      </c>
    </row>
    <row r="164" customFormat="false" ht="13.5" hidden="false" customHeight="true" outlineLevel="0" collapsed="false">
      <c r="A164" s="33" t="str">
        <f aca="false">'1-Ders Havuzu'!K55</f>
        <v>Seçilmedi</v>
      </c>
      <c r="B164" s="33" t="str">
        <f aca="false">IF($A164="Seçildi",IF('1-Ders Havuzu'!C55="","",'1-Ders Havuzu'!C55),"")</f>
        <v/>
      </c>
      <c r="C164" s="34" t="str">
        <f aca="false">IF($A164="Seçildi",IF('1-Ders Havuzu'!D55="","",'1-Ders Havuzu'!D55),"")</f>
        <v/>
      </c>
      <c r="D164" s="33" t="str">
        <f aca="false">IF($A164="Seçildi",IF('1-Ders Havuzu'!B55="","",'1-Ders Havuzu'!B55),"")</f>
        <v/>
      </c>
      <c r="E164" s="33" t="str">
        <f aca="false">IF($A164="Seçildi",IF('1-Ders Havuzu'!A55="","",'1-Ders Havuzu'!A55),"")</f>
        <v/>
      </c>
      <c r="F164" s="33" t="str">
        <f aca="false">IF($A164="Seçildi",IF('1-Ders Havuzu'!H55="","",'1-Ders Havuzu'!H55),"")</f>
        <v/>
      </c>
      <c r="G164" s="33" t="str">
        <f aca="false">IF($A164="Seçildi",IF('2-Ders-Öğr.Elemanı Eşleştirme'!H55="","",'2-Ders-Öğr.Elemanı Eşleştirme'!H55),"")</f>
        <v/>
      </c>
      <c r="H164" s="35" t="n">
        <v>2</v>
      </c>
      <c r="I164" s="36"/>
      <c r="J164" s="36"/>
      <c r="K164" s="36"/>
      <c r="L164" s="36"/>
      <c r="M164" s="33" t="str">
        <f aca="false">IF($J164="","",MATCH($J164,{"08.00";"09.00";"10.00";"11.00";"12.00";"13.00";"14.00";"15.00";"16.00";"17.00"},0))</f>
        <v/>
      </c>
      <c r="N164" s="33" t="str">
        <f aca="false">IF(OR($M164="",$K164=""),"",$M164+$K164-1)</f>
        <v/>
      </c>
      <c r="O164" s="33" t="str">
        <f aca="false">IF($A164&lt;&gt;"Seçildi","",IF(OR($M164="",$N164=""),"",IF($N164&gt;10,"⚠ Saat Taşıyor","")))</f>
        <v/>
      </c>
      <c r="P164" s="33" t="str">
        <f aca="false">IF($A164&lt;&gt;"Seçildi","",IF(OR($G164="",$I164="",$M164=""),"",IF(SUMPRODUCT(($A$7:$A$456="Seçildi")*($G$7:$G$456=$G164)*($I$7:$I$456=$I164)*(ROW($A$7:$A$456)&lt;&gt;164)*($M$7:$M$456&lt;=$N164)*($N$7:$N$456&gt;=$M164))&gt;0,"⚠ Çakışma","OK")))</f>
        <v/>
      </c>
      <c r="Q164" s="33" t="str">
        <f aca="false">IF($A164&lt;&gt;"Seçildi","",IF(OR($L164="",$I164="",$M164=""),"",IF(SUMPRODUCT(($A$7:$A$456="Seçildi")*($L$7:$L$456=$L164)*($I$7:$I$456=$I164)*(ROW($A$7:$A$456)&lt;&gt;164)*($M$7:$M$456&lt;=$N164)*($N$7:$N$456&gt;=$M164))&gt;0,"⚠ Çakışma","OK")))</f>
        <v/>
      </c>
      <c r="R164" s="33" t="str">
        <f aca="false">IF($A164&lt;&gt;"Seçildi","",IF(OR($D164="",$I164="",$M164=""),"",IF(SUMPRODUCT(($A$7:$A$456="Seçildi")*($D$7:$D$456=$D164)*($I$7:$I$456=$I164)*(ROW($A$7:$A$456)&lt;&gt;164)*($M$7:$M$456&lt;=$N164)*($N$7:$N$456&gt;=$M164))&gt;0,"⚠ Çakışma","OK")))</f>
        <v/>
      </c>
      <c r="S164" s="33"/>
      <c r="T164" s="33" t="str">
        <f aca="false">IF(OR($A164&lt;&gt;"Seçildi",AND($I164="",$J164="")),"",IF(OR($O164&lt;&gt;"",$P164="⚠ Çakışma",$Q164="⚠ Çakışma",$R164="⚠ Çakışma"),"⚠ Kontrol Et","✓ Uygun"))</f>
        <v/>
      </c>
    </row>
    <row r="165" customFormat="false" ht="13.5" hidden="false" customHeight="true" outlineLevel="0" collapsed="false">
      <c r="A165" s="33" t="str">
        <f aca="false">'1-Ders Havuzu'!K55</f>
        <v>Seçilmedi</v>
      </c>
      <c r="B165" s="33" t="str">
        <f aca="false">IF($A165="Seçildi",IF('1-Ders Havuzu'!C55="","",'1-Ders Havuzu'!C55),"")</f>
        <v/>
      </c>
      <c r="C165" s="34" t="str">
        <f aca="false">IF($A165="Seçildi",IF('1-Ders Havuzu'!D55="","",'1-Ders Havuzu'!D55),"")</f>
        <v/>
      </c>
      <c r="D165" s="33" t="str">
        <f aca="false">IF($A165="Seçildi",IF('1-Ders Havuzu'!B55="","",'1-Ders Havuzu'!B55),"")</f>
        <v/>
      </c>
      <c r="E165" s="33" t="str">
        <f aca="false">IF($A165="Seçildi",IF('1-Ders Havuzu'!A55="","",'1-Ders Havuzu'!A55),"")</f>
        <v/>
      </c>
      <c r="F165" s="33" t="str">
        <f aca="false">IF($A165="Seçildi",IF('1-Ders Havuzu'!H55="","",'1-Ders Havuzu'!H55),"")</f>
        <v/>
      </c>
      <c r="G165" s="33" t="str">
        <f aca="false">IF($A165="Seçildi",IF('2-Ders-Öğr.Elemanı Eşleştirme'!H55="","",'2-Ders-Öğr.Elemanı Eşleştirme'!H55),"")</f>
        <v/>
      </c>
      <c r="H165" s="35" t="n">
        <v>3</v>
      </c>
      <c r="I165" s="36"/>
      <c r="J165" s="36"/>
      <c r="K165" s="36"/>
      <c r="L165" s="36"/>
      <c r="M165" s="33" t="str">
        <f aca="false">IF($J165="","",MATCH($J165,{"08.00";"09.00";"10.00";"11.00";"12.00";"13.00";"14.00";"15.00";"16.00";"17.00"},0))</f>
        <v/>
      </c>
      <c r="N165" s="33" t="str">
        <f aca="false">IF(OR($M165="",$K165=""),"",$M165+$K165-1)</f>
        <v/>
      </c>
      <c r="O165" s="33" t="str">
        <f aca="false">IF($A165&lt;&gt;"Seçildi","",IF(OR($M165="",$N165=""),"",IF($N165&gt;10,"⚠ Saat Taşıyor","")))</f>
        <v/>
      </c>
      <c r="P165" s="33" t="str">
        <f aca="false">IF($A165&lt;&gt;"Seçildi","",IF(OR($G165="",$I165="",$M165=""),"",IF(SUMPRODUCT(($A$7:$A$456="Seçildi")*($G$7:$G$456=$G165)*($I$7:$I$456=$I165)*(ROW($A$7:$A$456)&lt;&gt;165)*($M$7:$M$456&lt;=$N165)*($N$7:$N$456&gt;=$M165))&gt;0,"⚠ Çakışma","OK")))</f>
        <v/>
      </c>
      <c r="Q165" s="33" t="str">
        <f aca="false">IF($A165&lt;&gt;"Seçildi","",IF(OR($L165="",$I165="",$M165=""),"",IF(SUMPRODUCT(($A$7:$A$456="Seçildi")*($L$7:$L$456=$L165)*($I$7:$I$456=$I165)*(ROW($A$7:$A$456)&lt;&gt;165)*($M$7:$M$456&lt;=$N165)*($N$7:$N$456&gt;=$M165))&gt;0,"⚠ Çakışma","OK")))</f>
        <v/>
      </c>
      <c r="R165" s="33" t="str">
        <f aca="false">IF($A165&lt;&gt;"Seçildi","",IF(OR($D165="",$I165="",$M165=""),"",IF(SUMPRODUCT(($A$7:$A$456="Seçildi")*($D$7:$D$456=$D165)*($I$7:$I$456=$I165)*(ROW($A$7:$A$456)&lt;&gt;165)*($M$7:$M$456&lt;=$N165)*($N$7:$N$456&gt;=$M165))&gt;0,"⚠ Çakışma","OK")))</f>
        <v/>
      </c>
      <c r="S165" s="33"/>
      <c r="T165" s="33" t="str">
        <f aca="false">IF(OR($A165&lt;&gt;"Seçildi",AND($I165="",$J165="")),"",IF(OR($O165&lt;&gt;"",$P165="⚠ Çakışma",$Q165="⚠ Çakışma",$R165="⚠ Çakışma"),"⚠ Kontrol Et","✓ Uygun"))</f>
        <v/>
      </c>
    </row>
    <row r="166" customFormat="false" ht="13.5" hidden="false" customHeight="true" outlineLevel="0" collapsed="false">
      <c r="A166" s="37" t="str">
        <f aca="false">'1-Ders Havuzu'!K56</f>
        <v>Seçilmedi</v>
      </c>
      <c r="B166" s="37" t="str">
        <f aca="false">IF($A166="Seçildi",IF('1-Ders Havuzu'!C56="","",'1-Ders Havuzu'!C56),"")</f>
        <v/>
      </c>
      <c r="C166" s="38" t="str">
        <f aca="false">IF($A166="Seçildi",IF('1-Ders Havuzu'!D56="","",'1-Ders Havuzu'!D56),"")</f>
        <v/>
      </c>
      <c r="D166" s="37" t="str">
        <f aca="false">IF($A166="Seçildi",IF('1-Ders Havuzu'!B56="","",'1-Ders Havuzu'!B56),"")</f>
        <v/>
      </c>
      <c r="E166" s="37" t="str">
        <f aca="false">IF($A166="Seçildi",IF('1-Ders Havuzu'!A56="","",'1-Ders Havuzu'!A56),"")</f>
        <v/>
      </c>
      <c r="F166" s="37" t="str">
        <f aca="false">IF($A166="Seçildi",IF('1-Ders Havuzu'!H56="","",'1-Ders Havuzu'!H56),"")</f>
        <v/>
      </c>
      <c r="G166" s="37" t="str">
        <f aca="false">IF($A166="Seçildi",IF('2-Ders-Öğr.Elemanı Eşleştirme'!H56="","",'2-Ders-Öğr.Elemanı Eşleştirme'!H56),"")</f>
        <v/>
      </c>
      <c r="H166" s="39" t="n">
        <v>1</v>
      </c>
      <c r="I166" s="36"/>
      <c r="J166" s="36"/>
      <c r="K166" s="36"/>
      <c r="L166" s="36"/>
      <c r="M166" s="37" t="str">
        <f aca="false">IF($J166="","",MATCH($J166,{"08.00";"09.00";"10.00";"11.00";"12.00";"13.00";"14.00";"15.00";"16.00";"17.00"},0))</f>
        <v/>
      </c>
      <c r="N166" s="37" t="str">
        <f aca="false">IF(OR($M166="",$K166=""),"",$M166+$K166-1)</f>
        <v/>
      </c>
      <c r="O166" s="37" t="str">
        <f aca="false">IF($A166&lt;&gt;"Seçildi","",IF(OR($M166="",$N166=""),"",IF($N166&gt;10,"⚠ Saat Taşıyor","")))</f>
        <v/>
      </c>
      <c r="P166" s="37" t="str">
        <f aca="false">IF($A166&lt;&gt;"Seçildi","",IF(OR($G166="",$I166="",$M166=""),"",IF(SUMPRODUCT(($A$7:$A$456="Seçildi")*($G$7:$G$456=$G166)*($I$7:$I$456=$I166)*(ROW($A$7:$A$456)&lt;&gt;166)*($M$7:$M$456&lt;=$N166)*($N$7:$N$456&gt;=$M166))&gt;0,"⚠ Çakışma","OK")))</f>
        <v/>
      </c>
      <c r="Q166" s="37" t="str">
        <f aca="false">IF($A166&lt;&gt;"Seçildi","",IF(OR($L166="",$I166="",$M166=""),"",IF(SUMPRODUCT(($A$7:$A$456="Seçildi")*($L$7:$L$456=$L166)*($I$7:$I$456=$I166)*(ROW($A$7:$A$456)&lt;&gt;166)*($M$7:$M$456&lt;=$N166)*($N$7:$N$456&gt;=$M166))&gt;0,"⚠ Çakışma","OK")))</f>
        <v/>
      </c>
      <c r="R166" s="37" t="str">
        <f aca="false">IF($A166&lt;&gt;"Seçildi","",IF(OR($D166="",$I166="",$M166=""),"",IF(SUMPRODUCT(($A$7:$A$456="Seçildi")*($D$7:$D$456=$D166)*($I$7:$I$456=$I166)*(ROW($A$7:$A$456)&lt;&gt;166)*($M$7:$M$456&lt;=$N166)*($N$7:$N$456&gt;=$M166))&gt;0,"⚠ Çakışma","OK")))</f>
        <v/>
      </c>
      <c r="S166" s="37" t="str">
        <f aca="false">IF($A166&lt;&gt;"Seçildi","",IF(SUM($K166,$K167,$K168)&lt;&gt;$F166,"⚠ Dağılım: "&amp;SUM($K166:$K168)&amp;"/"&amp;$F166&amp;" saat","✓ Tamam"))</f>
        <v/>
      </c>
      <c r="T166" s="37" t="str">
        <f aca="false">IF($A166&lt;&gt;"Seçildi","",IF(OR($O166&lt;&gt;"",$P166="⚠ Çakışma",$Q166="⚠ Çakışma",$R166="⚠ Çakışma",LEFT($S166&amp;" ",1)="⚠"),"⚠ Kontrol Et","✓ Uygun"))</f>
        <v/>
      </c>
    </row>
    <row r="167" customFormat="false" ht="13.5" hidden="false" customHeight="true" outlineLevel="0" collapsed="false">
      <c r="A167" s="37" t="str">
        <f aca="false">'1-Ders Havuzu'!K56</f>
        <v>Seçilmedi</v>
      </c>
      <c r="B167" s="37" t="str">
        <f aca="false">IF($A167="Seçildi",IF('1-Ders Havuzu'!C56="","",'1-Ders Havuzu'!C56),"")</f>
        <v/>
      </c>
      <c r="C167" s="38" t="str">
        <f aca="false">IF($A167="Seçildi",IF('1-Ders Havuzu'!D56="","",'1-Ders Havuzu'!D56),"")</f>
        <v/>
      </c>
      <c r="D167" s="37" t="str">
        <f aca="false">IF($A167="Seçildi",IF('1-Ders Havuzu'!B56="","",'1-Ders Havuzu'!B56),"")</f>
        <v/>
      </c>
      <c r="E167" s="37" t="str">
        <f aca="false">IF($A167="Seçildi",IF('1-Ders Havuzu'!A56="","",'1-Ders Havuzu'!A56),"")</f>
        <v/>
      </c>
      <c r="F167" s="37" t="str">
        <f aca="false">IF($A167="Seçildi",IF('1-Ders Havuzu'!H56="","",'1-Ders Havuzu'!H56),"")</f>
        <v/>
      </c>
      <c r="G167" s="37" t="str">
        <f aca="false">IF($A167="Seçildi",IF('2-Ders-Öğr.Elemanı Eşleştirme'!H56="","",'2-Ders-Öğr.Elemanı Eşleştirme'!H56),"")</f>
        <v/>
      </c>
      <c r="H167" s="39" t="n">
        <v>2</v>
      </c>
      <c r="I167" s="36"/>
      <c r="J167" s="36"/>
      <c r="K167" s="36"/>
      <c r="L167" s="36"/>
      <c r="M167" s="37" t="str">
        <f aca="false">IF($J167="","",MATCH($J167,{"08.00";"09.00";"10.00";"11.00";"12.00";"13.00";"14.00";"15.00";"16.00";"17.00"},0))</f>
        <v/>
      </c>
      <c r="N167" s="37" t="str">
        <f aca="false">IF(OR($M167="",$K167=""),"",$M167+$K167-1)</f>
        <v/>
      </c>
      <c r="O167" s="37" t="str">
        <f aca="false">IF($A167&lt;&gt;"Seçildi","",IF(OR($M167="",$N167=""),"",IF($N167&gt;10,"⚠ Saat Taşıyor","")))</f>
        <v/>
      </c>
      <c r="P167" s="37" t="str">
        <f aca="false">IF($A167&lt;&gt;"Seçildi","",IF(OR($G167="",$I167="",$M167=""),"",IF(SUMPRODUCT(($A$7:$A$456="Seçildi")*($G$7:$G$456=$G167)*($I$7:$I$456=$I167)*(ROW($A$7:$A$456)&lt;&gt;167)*($M$7:$M$456&lt;=$N167)*($N$7:$N$456&gt;=$M167))&gt;0,"⚠ Çakışma","OK")))</f>
        <v/>
      </c>
      <c r="Q167" s="37" t="str">
        <f aca="false">IF($A167&lt;&gt;"Seçildi","",IF(OR($L167="",$I167="",$M167=""),"",IF(SUMPRODUCT(($A$7:$A$456="Seçildi")*($L$7:$L$456=$L167)*($I$7:$I$456=$I167)*(ROW($A$7:$A$456)&lt;&gt;167)*($M$7:$M$456&lt;=$N167)*($N$7:$N$456&gt;=$M167))&gt;0,"⚠ Çakışma","OK")))</f>
        <v/>
      </c>
      <c r="R167" s="37" t="str">
        <f aca="false">IF($A167&lt;&gt;"Seçildi","",IF(OR($D167="",$I167="",$M167=""),"",IF(SUMPRODUCT(($A$7:$A$456="Seçildi")*($D$7:$D$456=$D167)*($I$7:$I$456=$I167)*(ROW($A$7:$A$456)&lt;&gt;167)*($M$7:$M$456&lt;=$N167)*($N$7:$N$456&gt;=$M167))&gt;0,"⚠ Çakışma","OK")))</f>
        <v/>
      </c>
      <c r="S167" s="37"/>
      <c r="T167" s="37" t="str">
        <f aca="false">IF(OR($A167&lt;&gt;"Seçildi",AND($I167="",$J167="")),"",IF(OR($O167&lt;&gt;"",$P167="⚠ Çakışma",$Q167="⚠ Çakışma",$R167="⚠ Çakışma"),"⚠ Kontrol Et","✓ Uygun"))</f>
        <v/>
      </c>
    </row>
    <row r="168" customFormat="false" ht="13.5" hidden="false" customHeight="true" outlineLevel="0" collapsed="false">
      <c r="A168" s="37" t="str">
        <f aca="false">'1-Ders Havuzu'!K56</f>
        <v>Seçilmedi</v>
      </c>
      <c r="B168" s="37" t="str">
        <f aca="false">IF($A168="Seçildi",IF('1-Ders Havuzu'!C56="","",'1-Ders Havuzu'!C56),"")</f>
        <v/>
      </c>
      <c r="C168" s="38" t="str">
        <f aca="false">IF($A168="Seçildi",IF('1-Ders Havuzu'!D56="","",'1-Ders Havuzu'!D56),"")</f>
        <v/>
      </c>
      <c r="D168" s="37" t="str">
        <f aca="false">IF($A168="Seçildi",IF('1-Ders Havuzu'!B56="","",'1-Ders Havuzu'!B56),"")</f>
        <v/>
      </c>
      <c r="E168" s="37" t="str">
        <f aca="false">IF($A168="Seçildi",IF('1-Ders Havuzu'!A56="","",'1-Ders Havuzu'!A56),"")</f>
        <v/>
      </c>
      <c r="F168" s="37" t="str">
        <f aca="false">IF($A168="Seçildi",IF('1-Ders Havuzu'!H56="","",'1-Ders Havuzu'!H56),"")</f>
        <v/>
      </c>
      <c r="G168" s="37" t="str">
        <f aca="false">IF($A168="Seçildi",IF('2-Ders-Öğr.Elemanı Eşleştirme'!H56="","",'2-Ders-Öğr.Elemanı Eşleştirme'!H56),"")</f>
        <v/>
      </c>
      <c r="H168" s="39" t="n">
        <v>3</v>
      </c>
      <c r="I168" s="36"/>
      <c r="J168" s="36"/>
      <c r="K168" s="36"/>
      <c r="L168" s="36"/>
      <c r="M168" s="37" t="str">
        <f aca="false">IF($J168="","",MATCH($J168,{"08.00";"09.00";"10.00";"11.00";"12.00";"13.00";"14.00";"15.00";"16.00";"17.00"},0))</f>
        <v/>
      </c>
      <c r="N168" s="37" t="str">
        <f aca="false">IF(OR($M168="",$K168=""),"",$M168+$K168-1)</f>
        <v/>
      </c>
      <c r="O168" s="37" t="str">
        <f aca="false">IF($A168&lt;&gt;"Seçildi","",IF(OR($M168="",$N168=""),"",IF($N168&gt;10,"⚠ Saat Taşıyor","")))</f>
        <v/>
      </c>
      <c r="P168" s="37" t="str">
        <f aca="false">IF($A168&lt;&gt;"Seçildi","",IF(OR($G168="",$I168="",$M168=""),"",IF(SUMPRODUCT(($A$7:$A$456="Seçildi")*($G$7:$G$456=$G168)*($I$7:$I$456=$I168)*(ROW($A$7:$A$456)&lt;&gt;168)*($M$7:$M$456&lt;=$N168)*($N$7:$N$456&gt;=$M168))&gt;0,"⚠ Çakışma","OK")))</f>
        <v/>
      </c>
      <c r="Q168" s="37" t="str">
        <f aca="false">IF($A168&lt;&gt;"Seçildi","",IF(OR($L168="",$I168="",$M168=""),"",IF(SUMPRODUCT(($A$7:$A$456="Seçildi")*($L$7:$L$456=$L168)*($I$7:$I$456=$I168)*(ROW($A$7:$A$456)&lt;&gt;168)*($M$7:$M$456&lt;=$N168)*($N$7:$N$456&gt;=$M168))&gt;0,"⚠ Çakışma","OK")))</f>
        <v/>
      </c>
      <c r="R168" s="37" t="str">
        <f aca="false">IF($A168&lt;&gt;"Seçildi","",IF(OR($D168="",$I168="",$M168=""),"",IF(SUMPRODUCT(($A$7:$A$456="Seçildi")*($D$7:$D$456=$D168)*($I$7:$I$456=$I168)*(ROW($A$7:$A$456)&lt;&gt;168)*($M$7:$M$456&lt;=$N168)*($N$7:$N$456&gt;=$M168))&gt;0,"⚠ Çakışma","OK")))</f>
        <v/>
      </c>
      <c r="S168" s="37"/>
      <c r="T168" s="37" t="str">
        <f aca="false">IF(OR($A168&lt;&gt;"Seçildi",AND($I168="",$J168="")),"",IF(OR($O168&lt;&gt;"",$P168="⚠ Çakışma",$Q168="⚠ Çakışma",$R168="⚠ Çakışma"),"⚠ Kontrol Et","✓ Uygun"))</f>
        <v/>
      </c>
    </row>
    <row r="169" customFormat="false" ht="13.5" hidden="false" customHeight="true" outlineLevel="0" collapsed="false">
      <c r="A169" s="33" t="str">
        <f aca="false">'1-Ders Havuzu'!K57</f>
        <v>Seçilmedi</v>
      </c>
      <c r="B169" s="33" t="str">
        <f aca="false">IF($A169="Seçildi",IF('1-Ders Havuzu'!C57="","",'1-Ders Havuzu'!C57),"")</f>
        <v/>
      </c>
      <c r="C169" s="34" t="str">
        <f aca="false">IF($A169="Seçildi",IF('1-Ders Havuzu'!D57="","",'1-Ders Havuzu'!D57),"")</f>
        <v/>
      </c>
      <c r="D169" s="33" t="str">
        <f aca="false">IF($A169="Seçildi",IF('1-Ders Havuzu'!B57="","",'1-Ders Havuzu'!B57),"")</f>
        <v/>
      </c>
      <c r="E169" s="33" t="str">
        <f aca="false">IF($A169="Seçildi",IF('1-Ders Havuzu'!A57="","",'1-Ders Havuzu'!A57),"")</f>
        <v/>
      </c>
      <c r="F169" s="33" t="str">
        <f aca="false">IF($A169="Seçildi",IF('1-Ders Havuzu'!H57="","",'1-Ders Havuzu'!H57),"")</f>
        <v/>
      </c>
      <c r="G169" s="33" t="str">
        <f aca="false">IF($A169="Seçildi",IF('2-Ders-Öğr.Elemanı Eşleştirme'!H57="","",'2-Ders-Öğr.Elemanı Eşleştirme'!H57),"")</f>
        <v/>
      </c>
      <c r="H169" s="35" t="n">
        <v>1</v>
      </c>
      <c r="I169" s="36"/>
      <c r="J169" s="36"/>
      <c r="K169" s="36"/>
      <c r="L169" s="36"/>
      <c r="M169" s="33" t="str">
        <f aca="false">IF($J169="","",MATCH($J169,{"08.00";"09.00";"10.00";"11.00";"12.00";"13.00";"14.00";"15.00";"16.00";"17.00"},0))</f>
        <v/>
      </c>
      <c r="N169" s="33" t="str">
        <f aca="false">IF(OR($M169="",$K169=""),"",$M169+$K169-1)</f>
        <v/>
      </c>
      <c r="O169" s="33" t="str">
        <f aca="false">IF($A169&lt;&gt;"Seçildi","",IF(OR($M169="",$N169=""),"",IF($N169&gt;10,"⚠ Saat Taşıyor","")))</f>
        <v/>
      </c>
      <c r="P169" s="33" t="str">
        <f aca="false">IF($A169&lt;&gt;"Seçildi","",IF(OR($G169="",$I169="",$M169=""),"",IF(SUMPRODUCT(($A$7:$A$456="Seçildi")*($G$7:$G$456=$G169)*($I$7:$I$456=$I169)*(ROW($A$7:$A$456)&lt;&gt;169)*($M$7:$M$456&lt;=$N169)*($N$7:$N$456&gt;=$M169))&gt;0,"⚠ Çakışma","OK")))</f>
        <v/>
      </c>
      <c r="Q169" s="33" t="str">
        <f aca="false">IF($A169&lt;&gt;"Seçildi","",IF(OR($L169="",$I169="",$M169=""),"",IF(SUMPRODUCT(($A$7:$A$456="Seçildi")*($L$7:$L$456=$L169)*($I$7:$I$456=$I169)*(ROW($A$7:$A$456)&lt;&gt;169)*($M$7:$M$456&lt;=$N169)*($N$7:$N$456&gt;=$M169))&gt;0,"⚠ Çakışma","OK")))</f>
        <v/>
      </c>
      <c r="R169" s="33" t="str">
        <f aca="false">IF($A169&lt;&gt;"Seçildi","",IF(OR($D169="",$I169="",$M169=""),"",IF(SUMPRODUCT(($A$7:$A$456="Seçildi")*($D$7:$D$456=$D169)*($I$7:$I$456=$I169)*(ROW($A$7:$A$456)&lt;&gt;169)*($M$7:$M$456&lt;=$N169)*($N$7:$N$456&gt;=$M169))&gt;0,"⚠ Çakışma","OK")))</f>
        <v/>
      </c>
      <c r="S169" s="33" t="str">
        <f aca="false">IF($A169&lt;&gt;"Seçildi","",IF(SUM($K169,$K170,$K171)&lt;&gt;$F169,"⚠ Dağılım: "&amp;SUM($K169:$K171)&amp;"/"&amp;$F169&amp;" saat","✓ Tamam"))</f>
        <v/>
      </c>
      <c r="T169" s="33" t="str">
        <f aca="false">IF($A169&lt;&gt;"Seçildi","",IF(OR($O169&lt;&gt;"",$P169="⚠ Çakışma",$Q169="⚠ Çakışma",$R169="⚠ Çakışma",LEFT($S169&amp;" ",1)="⚠"),"⚠ Kontrol Et","✓ Uygun"))</f>
        <v/>
      </c>
    </row>
    <row r="170" customFormat="false" ht="13.5" hidden="false" customHeight="true" outlineLevel="0" collapsed="false">
      <c r="A170" s="33" t="str">
        <f aca="false">'1-Ders Havuzu'!K57</f>
        <v>Seçilmedi</v>
      </c>
      <c r="B170" s="33" t="str">
        <f aca="false">IF($A170="Seçildi",IF('1-Ders Havuzu'!C57="","",'1-Ders Havuzu'!C57),"")</f>
        <v/>
      </c>
      <c r="C170" s="34" t="str">
        <f aca="false">IF($A170="Seçildi",IF('1-Ders Havuzu'!D57="","",'1-Ders Havuzu'!D57),"")</f>
        <v/>
      </c>
      <c r="D170" s="33" t="str">
        <f aca="false">IF($A170="Seçildi",IF('1-Ders Havuzu'!B57="","",'1-Ders Havuzu'!B57),"")</f>
        <v/>
      </c>
      <c r="E170" s="33" t="str">
        <f aca="false">IF($A170="Seçildi",IF('1-Ders Havuzu'!A57="","",'1-Ders Havuzu'!A57),"")</f>
        <v/>
      </c>
      <c r="F170" s="33" t="str">
        <f aca="false">IF($A170="Seçildi",IF('1-Ders Havuzu'!H57="","",'1-Ders Havuzu'!H57),"")</f>
        <v/>
      </c>
      <c r="G170" s="33" t="str">
        <f aca="false">IF($A170="Seçildi",IF('2-Ders-Öğr.Elemanı Eşleştirme'!H57="","",'2-Ders-Öğr.Elemanı Eşleştirme'!H57),"")</f>
        <v/>
      </c>
      <c r="H170" s="35" t="n">
        <v>2</v>
      </c>
      <c r="I170" s="36"/>
      <c r="J170" s="36"/>
      <c r="K170" s="36"/>
      <c r="L170" s="36"/>
      <c r="M170" s="33" t="str">
        <f aca="false">IF($J170="","",MATCH($J170,{"08.00";"09.00";"10.00";"11.00";"12.00";"13.00";"14.00";"15.00";"16.00";"17.00"},0))</f>
        <v/>
      </c>
      <c r="N170" s="33" t="str">
        <f aca="false">IF(OR($M170="",$K170=""),"",$M170+$K170-1)</f>
        <v/>
      </c>
      <c r="O170" s="33" t="str">
        <f aca="false">IF($A170&lt;&gt;"Seçildi","",IF(OR($M170="",$N170=""),"",IF($N170&gt;10,"⚠ Saat Taşıyor","")))</f>
        <v/>
      </c>
      <c r="P170" s="33" t="str">
        <f aca="false">IF($A170&lt;&gt;"Seçildi","",IF(OR($G170="",$I170="",$M170=""),"",IF(SUMPRODUCT(($A$7:$A$456="Seçildi")*($G$7:$G$456=$G170)*($I$7:$I$456=$I170)*(ROW($A$7:$A$456)&lt;&gt;170)*($M$7:$M$456&lt;=$N170)*($N$7:$N$456&gt;=$M170))&gt;0,"⚠ Çakışma","OK")))</f>
        <v/>
      </c>
      <c r="Q170" s="33" t="str">
        <f aca="false">IF($A170&lt;&gt;"Seçildi","",IF(OR($L170="",$I170="",$M170=""),"",IF(SUMPRODUCT(($A$7:$A$456="Seçildi")*($L$7:$L$456=$L170)*($I$7:$I$456=$I170)*(ROW($A$7:$A$456)&lt;&gt;170)*($M$7:$M$456&lt;=$N170)*($N$7:$N$456&gt;=$M170))&gt;0,"⚠ Çakışma","OK")))</f>
        <v/>
      </c>
      <c r="R170" s="33" t="str">
        <f aca="false">IF($A170&lt;&gt;"Seçildi","",IF(OR($D170="",$I170="",$M170=""),"",IF(SUMPRODUCT(($A$7:$A$456="Seçildi")*($D$7:$D$456=$D170)*($I$7:$I$456=$I170)*(ROW($A$7:$A$456)&lt;&gt;170)*($M$7:$M$456&lt;=$N170)*($N$7:$N$456&gt;=$M170))&gt;0,"⚠ Çakışma","OK")))</f>
        <v/>
      </c>
      <c r="S170" s="33"/>
      <c r="T170" s="33" t="str">
        <f aca="false">IF(OR($A170&lt;&gt;"Seçildi",AND($I170="",$J170="")),"",IF(OR($O170&lt;&gt;"",$P170="⚠ Çakışma",$Q170="⚠ Çakışma",$R170="⚠ Çakışma"),"⚠ Kontrol Et","✓ Uygun"))</f>
        <v/>
      </c>
    </row>
    <row r="171" customFormat="false" ht="13.5" hidden="false" customHeight="true" outlineLevel="0" collapsed="false">
      <c r="A171" s="33" t="str">
        <f aca="false">'1-Ders Havuzu'!K57</f>
        <v>Seçilmedi</v>
      </c>
      <c r="B171" s="33" t="str">
        <f aca="false">IF($A171="Seçildi",IF('1-Ders Havuzu'!C57="","",'1-Ders Havuzu'!C57),"")</f>
        <v/>
      </c>
      <c r="C171" s="34" t="str">
        <f aca="false">IF($A171="Seçildi",IF('1-Ders Havuzu'!D57="","",'1-Ders Havuzu'!D57),"")</f>
        <v/>
      </c>
      <c r="D171" s="33" t="str">
        <f aca="false">IF($A171="Seçildi",IF('1-Ders Havuzu'!B57="","",'1-Ders Havuzu'!B57),"")</f>
        <v/>
      </c>
      <c r="E171" s="33" t="str">
        <f aca="false">IF($A171="Seçildi",IF('1-Ders Havuzu'!A57="","",'1-Ders Havuzu'!A57),"")</f>
        <v/>
      </c>
      <c r="F171" s="33" t="str">
        <f aca="false">IF($A171="Seçildi",IF('1-Ders Havuzu'!H57="","",'1-Ders Havuzu'!H57),"")</f>
        <v/>
      </c>
      <c r="G171" s="33" t="str">
        <f aca="false">IF($A171="Seçildi",IF('2-Ders-Öğr.Elemanı Eşleştirme'!H57="","",'2-Ders-Öğr.Elemanı Eşleştirme'!H57),"")</f>
        <v/>
      </c>
      <c r="H171" s="35" t="n">
        <v>3</v>
      </c>
      <c r="I171" s="36"/>
      <c r="J171" s="36"/>
      <c r="K171" s="36"/>
      <c r="L171" s="36"/>
      <c r="M171" s="33" t="str">
        <f aca="false">IF($J171="","",MATCH($J171,{"08.00";"09.00";"10.00";"11.00";"12.00";"13.00";"14.00";"15.00";"16.00";"17.00"},0))</f>
        <v/>
      </c>
      <c r="N171" s="33" t="str">
        <f aca="false">IF(OR($M171="",$K171=""),"",$M171+$K171-1)</f>
        <v/>
      </c>
      <c r="O171" s="33" t="str">
        <f aca="false">IF($A171&lt;&gt;"Seçildi","",IF(OR($M171="",$N171=""),"",IF($N171&gt;10,"⚠ Saat Taşıyor","")))</f>
        <v/>
      </c>
      <c r="P171" s="33" t="str">
        <f aca="false">IF($A171&lt;&gt;"Seçildi","",IF(OR($G171="",$I171="",$M171=""),"",IF(SUMPRODUCT(($A$7:$A$456="Seçildi")*($G$7:$G$456=$G171)*($I$7:$I$456=$I171)*(ROW($A$7:$A$456)&lt;&gt;171)*($M$7:$M$456&lt;=$N171)*($N$7:$N$456&gt;=$M171))&gt;0,"⚠ Çakışma","OK")))</f>
        <v/>
      </c>
      <c r="Q171" s="33" t="str">
        <f aca="false">IF($A171&lt;&gt;"Seçildi","",IF(OR($L171="",$I171="",$M171=""),"",IF(SUMPRODUCT(($A$7:$A$456="Seçildi")*($L$7:$L$456=$L171)*($I$7:$I$456=$I171)*(ROW($A$7:$A$456)&lt;&gt;171)*($M$7:$M$456&lt;=$N171)*($N$7:$N$456&gt;=$M171))&gt;0,"⚠ Çakışma","OK")))</f>
        <v/>
      </c>
      <c r="R171" s="33" t="str">
        <f aca="false">IF($A171&lt;&gt;"Seçildi","",IF(OR($D171="",$I171="",$M171=""),"",IF(SUMPRODUCT(($A$7:$A$456="Seçildi")*($D$7:$D$456=$D171)*($I$7:$I$456=$I171)*(ROW($A$7:$A$456)&lt;&gt;171)*($M$7:$M$456&lt;=$N171)*($N$7:$N$456&gt;=$M171))&gt;0,"⚠ Çakışma","OK")))</f>
        <v/>
      </c>
      <c r="S171" s="33"/>
      <c r="T171" s="33" t="str">
        <f aca="false">IF(OR($A171&lt;&gt;"Seçildi",AND($I171="",$J171="")),"",IF(OR($O171&lt;&gt;"",$P171="⚠ Çakışma",$Q171="⚠ Çakışma",$R171="⚠ Çakışma"),"⚠ Kontrol Et","✓ Uygun"))</f>
        <v/>
      </c>
    </row>
    <row r="172" customFormat="false" ht="13.5" hidden="false" customHeight="true" outlineLevel="0" collapsed="false">
      <c r="A172" s="37" t="str">
        <f aca="false">'1-Ders Havuzu'!K58</f>
        <v>Seçilmedi</v>
      </c>
      <c r="B172" s="37" t="str">
        <f aca="false">IF($A172="Seçildi",IF('1-Ders Havuzu'!C58="","",'1-Ders Havuzu'!C58),"")</f>
        <v/>
      </c>
      <c r="C172" s="38" t="str">
        <f aca="false">IF($A172="Seçildi",IF('1-Ders Havuzu'!D58="","",'1-Ders Havuzu'!D58),"")</f>
        <v/>
      </c>
      <c r="D172" s="37" t="str">
        <f aca="false">IF($A172="Seçildi",IF('1-Ders Havuzu'!B58="","",'1-Ders Havuzu'!B58),"")</f>
        <v/>
      </c>
      <c r="E172" s="37" t="str">
        <f aca="false">IF($A172="Seçildi",IF('1-Ders Havuzu'!A58="","",'1-Ders Havuzu'!A58),"")</f>
        <v/>
      </c>
      <c r="F172" s="37" t="str">
        <f aca="false">IF($A172="Seçildi",IF('1-Ders Havuzu'!H58="","",'1-Ders Havuzu'!H58),"")</f>
        <v/>
      </c>
      <c r="G172" s="37" t="str">
        <f aca="false">IF($A172="Seçildi",IF('2-Ders-Öğr.Elemanı Eşleştirme'!H58="","",'2-Ders-Öğr.Elemanı Eşleştirme'!H58),"")</f>
        <v/>
      </c>
      <c r="H172" s="39" t="n">
        <v>1</v>
      </c>
      <c r="I172" s="36"/>
      <c r="J172" s="36"/>
      <c r="K172" s="36"/>
      <c r="L172" s="36"/>
      <c r="M172" s="37" t="str">
        <f aca="false">IF($J172="","",MATCH($J172,{"08.00";"09.00";"10.00";"11.00";"12.00";"13.00";"14.00";"15.00";"16.00";"17.00"},0))</f>
        <v/>
      </c>
      <c r="N172" s="37" t="str">
        <f aca="false">IF(OR($M172="",$K172=""),"",$M172+$K172-1)</f>
        <v/>
      </c>
      <c r="O172" s="37" t="str">
        <f aca="false">IF($A172&lt;&gt;"Seçildi","",IF(OR($M172="",$N172=""),"",IF($N172&gt;10,"⚠ Saat Taşıyor","")))</f>
        <v/>
      </c>
      <c r="P172" s="37" t="str">
        <f aca="false">IF($A172&lt;&gt;"Seçildi","",IF(OR($G172="",$I172="",$M172=""),"",IF(SUMPRODUCT(($A$7:$A$456="Seçildi")*($G$7:$G$456=$G172)*($I$7:$I$456=$I172)*(ROW($A$7:$A$456)&lt;&gt;172)*($M$7:$M$456&lt;=$N172)*($N$7:$N$456&gt;=$M172))&gt;0,"⚠ Çakışma","OK")))</f>
        <v/>
      </c>
      <c r="Q172" s="37" t="str">
        <f aca="false">IF($A172&lt;&gt;"Seçildi","",IF(OR($L172="",$I172="",$M172=""),"",IF(SUMPRODUCT(($A$7:$A$456="Seçildi")*($L$7:$L$456=$L172)*($I$7:$I$456=$I172)*(ROW($A$7:$A$456)&lt;&gt;172)*($M$7:$M$456&lt;=$N172)*($N$7:$N$456&gt;=$M172))&gt;0,"⚠ Çakışma","OK")))</f>
        <v/>
      </c>
      <c r="R172" s="37" t="str">
        <f aca="false">IF($A172&lt;&gt;"Seçildi","",IF(OR($D172="",$I172="",$M172=""),"",IF(SUMPRODUCT(($A$7:$A$456="Seçildi")*($D$7:$D$456=$D172)*($I$7:$I$456=$I172)*(ROW($A$7:$A$456)&lt;&gt;172)*($M$7:$M$456&lt;=$N172)*($N$7:$N$456&gt;=$M172))&gt;0,"⚠ Çakışma","OK")))</f>
        <v/>
      </c>
      <c r="S172" s="37" t="str">
        <f aca="false">IF($A172&lt;&gt;"Seçildi","",IF(SUM($K172,$K173,$K174)&lt;&gt;$F172,"⚠ Dağılım: "&amp;SUM($K172:$K174)&amp;"/"&amp;$F172&amp;" saat","✓ Tamam"))</f>
        <v/>
      </c>
      <c r="T172" s="37" t="str">
        <f aca="false">IF($A172&lt;&gt;"Seçildi","",IF(OR($O172&lt;&gt;"",$P172="⚠ Çakışma",$Q172="⚠ Çakışma",$R172="⚠ Çakışma",LEFT($S172&amp;" ",1)="⚠"),"⚠ Kontrol Et","✓ Uygun"))</f>
        <v/>
      </c>
    </row>
    <row r="173" customFormat="false" ht="13.5" hidden="false" customHeight="true" outlineLevel="0" collapsed="false">
      <c r="A173" s="37" t="str">
        <f aca="false">'1-Ders Havuzu'!K58</f>
        <v>Seçilmedi</v>
      </c>
      <c r="B173" s="37" t="str">
        <f aca="false">IF($A173="Seçildi",IF('1-Ders Havuzu'!C58="","",'1-Ders Havuzu'!C58),"")</f>
        <v/>
      </c>
      <c r="C173" s="38" t="str">
        <f aca="false">IF($A173="Seçildi",IF('1-Ders Havuzu'!D58="","",'1-Ders Havuzu'!D58),"")</f>
        <v/>
      </c>
      <c r="D173" s="37" t="str">
        <f aca="false">IF($A173="Seçildi",IF('1-Ders Havuzu'!B58="","",'1-Ders Havuzu'!B58),"")</f>
        <v/>
      </c>
      <c r="E173" s="37" t="str">
        <f aca="false">IF($A173="Seçildi",IF('1-Ders Havuzu'!A58="","",'1-Ders Havuzu'!A58),"")</f>
        <v/>
      </c>
      <c r="F173" s="37" t="str">
        <f aca="false">IF($A173="Seçildi",IF('1-Ders Havuzu'!H58="","",'1-Ders Havuzu'!H58),"")</f>
        <v/>
      </c>
      <c r="G173" s="37" t="str">
        <f aca="false">IF($A173="Seçildi",IF('2-Ders-Öğr.Elemanı Eşleştirme'!H58="","",'2-Ders-Öğr.Elemanı Eşleştirme'!H58),"")</f>
        <v/>
      </c>
      <c r="H173" s="39" t="n">
        <v>2</v>
      </c>
      <c r="I173" s="36"/>
      <c r="J173" s="36"/>
      <c r="K173" s="36"/>
      <c r="L173" s="36"/>
      <c r="M173" s="37" t="str">
        <f aca="false">IF($J173="","",MATCH($J173,{"08.00";"09.00";"10.00";"11.00";"12.00";"13.00";"14.00";"15.00";"16.00";"17.00"},0))</f>
        <v/>
      </c>
      <c r="N173" s="37" t="str">
        <f aca="false">IF(OR($M173="",$K173=""),"",$M173+$K173-1)</f>
        <v/>
      </c>
      <c r="O173" s="37" t="str">
        <f aca="false">IF($A173&lt;&gt;"Seçildi","",IF(OR($M173="",$N173=""),"",IF($N173&gt;10,"⚠ Saat Taşıyor","")))</f>
        <v/>
      </c>
      <c r="P173" s="37" t="str">
        <f aca="false">IF($A173&lt;&gt;"Seçildi","",IF(OR($G173="",$I173="",$M173=""),"",IF(SUMPRODUCT(($A$7:$A$456="Seçildi")*($G$7:$G$456=$G173)*($I$7:$I$456=$I173)*(ROW($A$7:$A$456)&lt;&gt;173)*($M$7:$M$456&lt;=$N173)*($N$7:$N$456&gt;=$M173))&gt;0,"⚠ Çakışma","OK")))</f>
        <v/>
      </c>
      <c r="Q173" s="37" t="str">
        <f aca="false">IF($A173&lt;&gt;"Seçildi","",IF(OR($L173="",$I173="",$M173=""),"",IF(SUMPRODUCT(($A$7:$A$456="Seçildi")*($L$7:$L$456=$L173)*($I$7:$I$456=$I173)*(ROW($A$7:$A$456)&lt;&gt;173)*($M$7:$M$456&lt;=$N173)*($N$7:$N$456&gt;=$M173))&gt;0,"⚠ Çakışma","OK")))</f>
        <v/>
      </c>
      <c r="R173" s="37" t="str">
        <f aca="false">IF($A173&lt;&gt;"Seçildi","",IF(OR($D173="",$I173="",$M173=""),"",IF(SUMPRODUCT(($A$7:$A$456="Seçildi")*($D$7:$D$456=$D173)*($I$7:$I$456=$I173)*(ROW($A$7:$A$456)&lt;&gt;173)*($M$7:$M$456&lt;=$N173)*($N$7:$N$456&gt;=$M173))&gt;0,"⚠ Çakışma","OK")))</f>
        <v/>
      </c>
      <c r="S173" s="37"/>
      <c r="T173" s="37" t="str">
        <f aca="false">IF(OR($A173&lt;&gt;"Seçildi",AND($I173="",$J173="")),"",IF(OR($O173&lt;&gt;"",$P173="⚠ Çakışma",$Q173="⚠ Çakışma",$R173="⚠ Çakışma"),"⚠ Kontrol Et","✓ Uygun"))</f>
        <v/>
      </c>
    </row>
    <row r="174" customFormat="false" ht="13.5" hidden="false" customHeight="true" outlineLevel="0" collapsed="false">
      <c r="A174" s="37" t="str">
        <f aca="false">'1-Ders Havuzu'!K58</f>
        <v>Seçilmedi</v>
      </c>
      <c r="B174" s="37" t="str">
        <f aca="false">IF($A174="Seçildi",IF('1-Ders Havuzu'!C58="","",'1-Ders Havuzu'!C58),"")</f>
        <v/>
      </c>
      <c r="C174" s="38" t="str">
        <f aca="false">IF($A174="Seçildi",IF('1-Ders Havuzu'!D58="","",'1-Ders Havuzu'!D58),"")</f>
        <v/>
      </c>
      <c r="D174" s="37" t="str">
        <f aca="false">IF($A174="Seçildi",IF('1-Ders Havuzu'!B58="","",'1-Ders Havuzu'!B58),"")</f>
        <v/>
      </c>
      <c r="E174" s="37" t="str">
        <f aca="false">IF($A174="Seçildi",IF('1-Ders Havuzu'!A58="","",'1-Ders Havuzu'!A58),"")</f>
        <v/>
      </c>
      <c r="F174" s="37" t="str">
        <f aca="false">IF($A174="Seçildi",IF('1-Ders Havuzu'!H58="","",'1-Ders Havuzu'!H58),"")</f>
        <v/>
      </c>
      <c r="G174" s="37" t="str">
        <f aca="false">IF($A174="Seçildi",IF('2-Ders-Öğr.Elemanı Eşleştirme'!H58="","",'2-Ders-Öğr.Elemanı Eşleştirme'!H58),"")</f>
        <v/>
      </c>
      <c r="H174" s="39" t="n">
        <v>3</v>
      </c>
      <c r="I174" s="36"/>
      <c r="J174" s="36"/>
      <c r="K174" s="36"/>
      <c r="L174" s="36"/>
      <c r="M174" s="37" t="str">
        <f aca="false">IF($J174="","",MATCH($J174,{"08.00";"09.00";"10.00";"11.00";"12.00";"13.00";"14.00";"15.00";"16.00";"17.00"},0))</f>
        <v/>
      </c>
      <c r="N174" s="37" t="str">
        <f aca="false">IF(OR($M174="",$K174=""),"",$M174+$K174-1)</f>
        <v/>
      </c>
      <c r="O174" s="37" t="str">
        <f aca="false">IF($A174&lt;&gt;"Seçildi","",IF(OR($M174="",$N174=""),"",IF($N174&gt;10,"⚠ Saat Taşıyor","")))</f>
        <v/>
      </c>
      <c r="P174" s="37" t="str">
        <f aca="false">IF($A174&lt;&gt;"Seçildi","",IF(OR($G174="",$I174="",$M174=""),"",IF(SUMPRODUCT(($A$7:$A$456="Seçildi")*($G$7:$G$456=$G174)*($I$7:$I$456=$I174)*(ROW($A$7:$A$456)&lt;&gt;174)*($M$7:$M$456&lt;=$N174)*($N$7:$N$456&gt;=$M174))&gt;0,"⚠ Çakışma","OK")))</f>
        <v/>
      </c>
      <c r="Q174" s="37" t="str">
        <f aca="false">IF($A174&lt;&gt;"Seçildi","",IF(OR($L174="",$I174="",$M174=""),"",IF(SUMPRODUCT(($A$7:$A$456="Seçildi")*($L$7:$L$456=$L174)*($I$7:$I$456=$I174)*(ROW($A$7:$A$456)&lt;&gt;174)*($M$7:$M$456&lt;=$N174)*($N$7:$N$456&gt;=$M174))&gt;0,"⚠ Çakışma","OK")))</f>
        <v/>
      </c>
      <c r="R174" s="37" t="str">
        <f aca="false">IF($A174&lt;&gt;"Seçildi","",IF(OR($D174="",$I174="",$M174=""),"",IF(SUMPRODUCT(($A$7:$A$456="Seçildi")*($D$7:$D$456=$D174)*($I$7:$I$456=$I174)*(ROW($A$7:$A$456)&lt;&gt;174)*($M$7:$M$456&lt;=$N174)*($N$7:$N$456&gt;=$M174))&gt;0,"⚠ Çakışma","OK")))</f>
        <v/>
      </c>
      <c r="S174" s="37"/>
      <c r="T174" s="37" t="str">
        <f aca="false">IF(OR($A174&lt;&gt;"Seçildi",AND($I174="",$J174="")),"",IF(OR($O174&lt;&gt;"",$P174="⚠ Çakışma",$Q174="⚠ Çakışma",$R174="⚠ Çakışma"),"⚠ Kontrol Et","✓ Uygun"))</f>
        <v/>
      </c>
    </row>
    <row r="175" customFormat="false" ht="13.5" hidden="false" customHeight="true" outlineLevel="0" collapsed="false">
      <c r="A175" s="33" t="str">
        <f aca="false">'1-Ders Havuzu'!K59</f>
        <v>Seçilmedi</v>
      </c>
      <c r="B175" s="33" t="str">
        <f aca="false">IF($A175="Seçildi",IF('1-Ders Havuzu'!C59="","",'1-Ders Havuzu'!C59),"")</f>
        <v/>
      </c>
      <c r="C175" s="34" t="str">
        <f aca="false">IF($A175="Seçildi",IF('1-Ders Havuzu'!D59="","",'1-Ders Havuzu'!D59),"")</f>
        <v/>
      </c>
      <c r="D175" s="33" t="str">
        <f aca="false">IF($A175="Seçildi",IF('1-Ders Havuzu'!B59="","",'1-Ders Havuzu'!B59),"")</f>
        <v/>
      </c>
      <c r="E175" s="33" t="str">
        <f aca="false">IF($A175="Seçildi",IF('1-Ders Havuzu'!A59="","",'1-Ders Havuzu'!A59),"")</f>
        <v/>
      </c>
      <c r="F175" s="33" t="str">
        <f aca="false">IF($A175="Seçildi",IF('1-Ders Havuzu'!H59="","",'1-Ders Havuzu'!H59),"")</f>
        <v/>
      </c>
      <c r="G175" s="33" t="str">
        <f aca="false">IF($A175="Seçildi",IF('2-Ders-Öğr.Elemanı Eşleştirme'!H59="","",'2-Ders-Öğr.Elemanı Eşleştirme'!H59),"")</f>
        <v/>
      </c>
      <c r="H175" s="35" t="n">
        <v>1</v>
      </c>
      <c r="I175" s="36"/>
      <c r="J175" s="36"/>
      <c r="K175" s="36"/>
      <c r="L175" s="36"/>
      <c r="M175" s="33" t="str">
        <f aca="false">IF($J175="","",MATCH($J175,{"08.00";"09.00";"10.00";"11.00";"12.00";"13.00";"14.00";"15.00";"16.00";"17.00"},0))</f>
        <v/>
      </c>
      <c r="N175" s="33" t="str">
        <f aca="false">IF(OR($M175="",$K175=""),"",$M175+$K175-1)</f>
        <v/>
      </c>
      <c r="O175" s="33" t="str">
        <f aca="false">IF($A175&lt;&gt;"Seçildi","",IF(OR($M175="",$N175=""),"",IF($N175&gt;10,"⚠ Saat Taşıyor","")))</f>
        <v/>
      </c>
      <c r="P175" s="33" t="str">
        <f aca="false">IF($A175&lt;&gt;"Seçildi","",IF(OR($G175="",$I175="",$M175=""),"",IF(SUMPRODUCT(($A$7:$A$456="Seçildi")*($G$7:$G$456=$G175)*($I$7:$I$456=$I175)*(ROW($A$7:$A$456)&lt;&gt;175)*($M$7:$M$456&lt;=$N175)*($N$7:$N$456&gt;=$M175))&gt;0,"⚠ Çakışma","OK")))</f>
        <v/>
      </c>
      <c r="Q175" s="33" t="str">
        <f aca="false">IF($A175&lt;&gt;"Seçildi","",IF(OR($L175="",$I175="",$M175=""),"",IF(SUMPRODUCT(($A$7:$A$456="Seçildi")*($L$7:$L$456=$L175)*($I$7:$I$456=$I175)*(ROW($A$7:$A$456)&lt;&gt;175)*($M$7:$M$456&lt;=$N175)*($N$7:$N$456&gt;=$M175))&gt;0,"⚠ Çakışma","OK")))</f>
        <v/>
      </c>
      <c r="R175" s="33" t="str">
        <f aca="false">IF($A175&lt;&gt;"Seçildi","",IF(OR($D175="",$I175="",$M175=""),"",IF(SUMPRODUCT(($A$7:$A$456="Seçildi")*($D$7:$D$456=$D175)*($I$7:$I$456=$I175)*(ROW($A$7:$A$456)&lt;&gt;175)*($M$7:$M$456&lt;=$N175)*($N$7:$N$456&gt;=$M175))&gt;0,"⚠ Çakışma","OK")))</f>
        <v/>
      </c>
      <c r="S175" s="33" t="str">
        <f aca="false">IF($A175&lt;&gt;"Seçildi","",IF(SUM($K175,$K176,$K177)&lt;&gt;$F175,"⚠ Dağılım: "&amp;SUM($K175:$K177)&amp;"/"&amp;$F175&amp;" saat","✓ Tamam"))</f>
        <v/>
      </c>
      <c r="T175" s="33" t="str">
        <f aca="false">IF($A175&lt;&gt;"Seçildi","",IF(OR($O175&lt;&gt;"",$P175="⚠ Çakışma",$Q175="⚠ Çakışma",$R175="⚠ Çakışma",LEFT($S175&amp;" ",1)="⚠"),"⚠ Kontrol Et","✓ Uygun"))</f>
        <v/>
      </c>
    </row>
    <row r="176" customFormat="false" ht="13.5" hidden="false" customHeight="true" outlineLevel="0" collapsed="false">
      <c r="A176" s="33" t="str">
        <f aca="false">'1-Ders Havuzu'!K59</f>
        <v>Seçilmedi</v>
      </c>
      <c r="B176" s="33" t="str">
        <f aca="false">IF($A176="Seçildi",IF('1-Ders Havuzu'!C59="","",'1-Ders Havuzu'!C59),"")</f>
        <v/>
      </c>
      <c r="C176" s="34" t="str">
        <f aca="false">IF($A176="Seçildi",IF('1-Ders Havuzu'!D59="","",'1-Ders Havuzu'!D59),"")</f>
        <v/>
      </c>
      <c r="D176" s="33" t="str">
        <f aca="false">IF($A176="Seçildi",IF('1-Ders Havuzu'!B59="","",'1-Ders Havuzu'!B59),"")</f>
        <v/>
      </c>
      <c r="E176" s="33" t="str">
        <f aca="false">IF($A176="Seçildi",IF('1-Ders Havuzu'!A59="","",'1-Ders Havuzu'!A59),"")</f>
        <v/>
      </c>
      <c r="F176" s="33" t="str">
        <f aca="false">IF($A176="Seçildi",IF('1-Ders Havuzu'!H59="","",'1-Ders Havuzu'!H59),"")</f>
        <v/>
      </c>
      <c r="G176" s="33" t="str">
        <f aca="false">IF($A176="Seçildi",IF('2-Ders-Öğr.Elemanı Eşleştirme'!H59="","",'2-Ders-Öğr.Elemanı Eşleştirme'!H59),"")</f>
        <v/>
      </c>
      <c r="H176" s="35" t="n">
        <v>2</v>
      </c>
      <c r="I176" s="36"/>
      <c r="J176" s="36"/>
      <c r="K176" s="36"/>
      <c r="L176" s="36"/>
      <c r="M176" s="33" t="str">
        <f aca="false">IF($J176="","",MATCH($J176,{"08.00";"09.00";"10.00";"11.00";"12.00";"13.00";"14.00";"15.00";"16.00";"17.00"},0))</f>
        <v/>
      </c>
      <c r="N176" s="33" t="str">
        <f aca="false">IF(OR($M176="",$K176=""),"",$M176+$K176-1)</f>
        <v/>
      </c>
      <c r="O176" s="33" t="str">
        <f aca="false">IF($A176&lt;&gt;"Seçildi","",IF(OR($M176="",$N176=""),"",IF($N176&gt;10,"⚠ Saat Taşıyor","")))</f>
        <v/>
      </c>
      <c r="P176" s="33" t="str">
        <f aca="false">IF($A176&lt;&gt;"Seçildi","",IF(OR($G176="",$I176="",$M176=""),"",IF(SUMPRODUCT(($A$7:$A$456="Seçildi")*($G$7:$G$456=$G176)*($I$7:$I$456=$I176)*(ROW($A$7:$A$456)&lt;&gt;176)*($M$7:$M$456&lt;=$N176)*($N$7:$N$456&gt;=$M176))&gt;0,"⚠ Çakışma","OK")))</f>
        <v/>
      </c>
      <c r="Q176" s="33" t="str">
        <f aca="false">IF($A176&lt;&gt;"Seçildi","",IF(OR($L176="",$I176="",$M176=""),"",IF(SUMPRODUCT(($A$7:$A$456="Seçildi")*($L$7:$L$456=$L176)*($I$7:$I$456=$I176)*(ROW($A$7:$A$456)&lt;&gt;176)*($M$7:$M$456&lt;=$N176)*($N$7:$N$456&gt;=$M176))&gt;0,"⚠ Çakışma","OK")))</f>
        <v/>
      </c>
      <c r="R176" s="33" t="str">
        <f aca="false">IF($A176&lt;&gt;"Seçildi","",IF(OR($D176="",$I176="",$M176=""),"",IF(SUMPRODUCT(($A$7:$A$456="Seçildi")*($D$7:$D$456=$D176)*($I$7:$I$456=$I176)*(ROW($A$7:$A$456)&lt;&gt;176)*($M$7:$M$456&lt;=$N176)*($N$7:$N$456&gt;=$M176))&gt;0,"⚠ Çakışma","OK")))</f>
        <v/>
      </c>
      <c r="S176" s="33"/>
      <c r="T176" s="33" t="str">
        <f aca="false">IF(OR($A176&lt;&gt;"Seçildi",AND($I176="",$J176="")),"",IF(OR($O176&lt;&gt;"",$P176="⚠ Çakışma",$Q176="⚠ Çakışma",$R176="⚠ Çakışma"),"⚠ Kontrol Et","✓ Uygun"))</f>
        <v/>
      </c>
    </row>
    <row r="177" customFormat="false" ht="13.5" hidden="false" customHeight="true" outlineLevel="0" collapsed="false">
      <c r="A177" s="33" t="str">
        <f aca="false">'1-Ders Havuzu'!K59</f>
        <v>Seçilmedi</v>
      </c>
      <c r="B177" s="33" t="str">
        <f aca="false">IF($A177="Seçildi",IF('1-Ders Havuzu'!C59="","",'1-Ders Havuzu'!C59),"")</f>
        <v/>
      </c>
      <c r="C177" s="34" t="str">
        <f aca="false">IF($A177="Seçildi",IF('1-Ders Havuzu'!D59="","",'1-Ders Havuzu'!D59),"")</f>
        <v/>
      </c>
      <c r="D177" s="33" t="str">
        <f aca="false">IF($A177="Seçildi",IF('1-Ders Havuzu'!B59="","",'1-Ders Havuzu'!B59),"")</f>
        <v/>
      </c>
      <c r="E177" s="33" t="str">
        <f aca="false">IF($A177="Seçildi",IF('1-Ders Havuzu'!A59="","",'1-Ders Havuzu'!A59),"")</f>
        <v/>
      </c>
      <c r="F177" s="33" t="str">
        <f aca="false">IF($A177="Seçildi",IF('1-Ders Havuzu'!H59="","",'1-Ders Havuzu'!H59),"")</f>
        <v/>
      </c>
      <c r="G177" s="33" t="str">
        <f aca="false">IF($A177="Seçildi",IF('2-Ders-Öğr.Elemanı Eşleştirme'!H59="","",'2-Ders-Öğr.Elemanı Eşleştirme'!H59),"")</f>
        <v/>
      </c>
      <c r="H177" s="35" t="n">
        <v>3</v>
      </c>
      <c r="I177" s="36"/>
      <c r="J177" s="36"/>
      <c r="K177" s="36"/>
      <c r="L177" s="36"/>
      <c r="M177" s="33" t="str">
        <f aca="false">IF($J177="","",MATCH($J177,{"08.00";"09.00";"10.00";"11.00";"12.00";"13.00";"14.00";"15.00";"16.00";"17.00"},0))</f>
        <v/>
      </c>
      <c r="N177" s="33" t="str">
        <f aca="false">IF(OR($M177="",$K177=""),"",$M177+$K177-1)</f>
        <v/>
      </c>
      <c r="O177" s="33" t="str">
        <f aca="false">IF($A177&lt;&gt;"Seçildi","",IF(OR($M177="",$N177=""),"",IF($N177&gt;10,"⚠ Saat Taşıyor","")))</f>
        <v/>
      </c>
      <c r="P177" s="33" t="str">
        <f aca="false">IF($A177&lt;&gt;"Seçildi","",IF(OR($G177="",$I177="",$M177=""),"",IF(SUMPRODUCT(($A$7:$A$456="Seçildi")*($G$7:$G$456=$G177)*($I$7:$I$456=$I177)*(ROW($A$7:$A$456)&lt;&gt;177)*($M$7:$M$456&lt;=$N177)*($N$7:$N$456&gt;=$M177))&gt;0,"⚠ Çakışma","OK")))</f>
        <v/>
      </c>
      <c r="Q177" s="33" t="str">
        <f aca="false">IF($A177&lt;&gt;"Seçildi","",IF(OR($L177="",$I177="",$M177=""),"",IF(SUMPRODUCT(($A$7:$A$456="Seçildi")*($L$7:$L$456=$L177)*($I$7:$I$456=$I177)*(ROW($A$7:$A$456)&lt;&gt;177)*($M$7:$M$456&lt;=$N177)*($N$7:$N$456&gt;=$M177))&gt;0,"⚠ Çakışma","OK")))</f>
        <v/>
      </c>
      <c r="R177" s="33" t="str">
        <f aca="false">IF($A177&lt;&gt;"Seçildi","",IF(OR($D177="",$I177="",$M177=""),"",IF(SUMPRODUCT(($A$7:$A$456="Seçildi")*($D$7:$D$456=$D177)*($I$7:$I$456=$I177)*(ROW($A$7:$A$456)&lt;&gt;177)*($M$7:$M$456&lt;=$N177)*($N$7:$N$456&gt;=$M177))&gt;0,"⚠ Çakışma","OK")))</f>
        <v/>
      </c>
      <c r="S177" s="33"/>
      <c r="T177" s="33" t="str">
        <f aca="false">IF(OR($A177&lt;&gt;"Seçildi",AND($I177="",$J177="")),"",IF(OR($O177&lt;&gt;"",$P177="⚠ Çakışma",$Q177="⚠ Çakışma",$R177="⚠ Çakışma"),"⚠ Kontrol Et","✓ Uygun"))</f>
        <v/>
      </c>
    </row>
    <row r="178" customFormat="false" ht="13.5" hidden="false" customHeight="true" outlineLevel="0" collapsed="false">
      <c r="A178" s="37" t="str">
        <f aca="false">'1-Ders Havuzu'!K60</f>
        <v>Seçilmedi</v>
      </c>
      <c r="B178" s="37" t="str">
        <f aca="false">IF($A178="Seçildi",IF('1-Ders Havuzu'!C60="","",'1-Ders Havuzu'!C60),"")</f>
        <v/>
      </c>
      <c r="C178" s="38" t="str">
        <f aca="false">IF($A178="Seçildi",IF('1-Ders Havuzu'!D60="","",'1-Ders Havuzu'!D60),"")</f>
        <v/>
      </c>
      <c r="D178" s="37" t="str">
        <f aca="false">IF($A178="Seçildi",IF('1-Ders Havuzu'!B60="","",'1-Ders Havuzu'!B60),"")</f>
        <v/>
      </c>
      <c r="E178" s="37" t="str">
        <f aca="false">IF($A178="Seçildi",IF('1-Ders Havuzu'!A60="","",'1-Ders Havuzu'!A60),"")</f>
        <v/>
      </c>
      <c r="F178" s="37" t="str">
        <f aca="false">IF($A178="Seçildi",IF('1-Ders Havuzu'!H60="","",'1-Ders Havuzu'!H60),"")</f>
        <v/>
      </c>
      <c r="G178" s="37" t="str">
        <f aca="false">IF($A178="Seçildi",IF('2-Ders-Öğr.Elemanı Eşleştirme'!H60="","",'2-Ders-Öğr.Elemanı Eşleştirme'!H60),"")</f>
        <v/>
      </c>
      <c r="H178" s="39" t="n">
        <v>1</v>
      </c>
      <c r="I178" s="36"/>
      <c r="J178" s="36"/>
      <c r="K178" s="36"/>
      <c r="L178" s="36"/>
      <c r="M178" s="37" t="str">
        <f aca="false">IF($J178="","",MATCH($J178,{"08.00";"09.00";"10.00";"11.00";"12.00";"13.00";"14.00";"15.00";"16.00";"17.00"},0))</f>
        <v/>
      </c>
      <c r="N178" s="37" t="str">
        <f aca="false">IF(OR($M178="",$K178=""),"",$M178+$K178-1)</f>
        <v/>
      </c>
      <c r="O178" s="37" t="str">
        <f aca="false">IF($A178&lt;&gt;"Seçildi","",IF(OR($M178="",$N178=""),"",IF($N178&gt;10,"⚠ Saat Taşıyor","")))</f>
        <v/>
      </c>
      <c r="P178" s="37" t="str">
        <f aca="false">IF($A178&lt;&gt;"Seçildi","",IF(OR($G178="",$I178="",$M178=""),"",IF(SUMPRODUCT(($A$7:$A$456="Seçildi")*($G$7:$G$456=$G178)*($I$7:$I$456=$I178)*(ROW($A$7:$A$456)&lt;&gt;178)*($M$7:$M$456&lt;=$N178)*($N$7:$N$456&gt;=$M178))&gt;0,"⚠ Çakışma","OK")))</f>
        <v/>
      </c>
      <c r="Q178" s="37" t="str">
        <f aca="false">IF($A178&lt;&gt;"Seçildi","",IF(OR($L178="",$I178="",$M178=""),"",IF(SUMPRODUCT(($A$7:$A$456="Seçildi")*($L$7:$L$456=$L178)*($I$7:$I$456=$I178)*(ROW($A$7:$A$456)&lt;&gt;178)*($M$7:$M$456&lt;=$N178)*($N$7:$N$456&gt;=$M178))&gt;0,"⚠ Çakışma","OK")))</f>
        <v/>
      </c>
      <c r="R178" s="37" t="str">
        <f aca="false">IF($A178&lt;&gt;"Seçildi","",IF(OR($D178="",$I178="",$M178=""),"",IF(SUMPRODUCT(($A$7:$A$456="Seçildi")*($D$7:$D$456=$D178)*($I$7:$I$456=$I178)*(ROW($A$7:$A$456)&lt;&gt;178)*($M$7:$M$456&lt;=$N178)*($N$7:$N$456&gt;=$M178))&gt;0,"⚠ Çakışma","OK")))</f>
        <v/>
      </c>
      <c r="S178" s="37" t="str">
        <f aca="false">IF($A178&lt;&gt;"Seçildi","",IF(SUM($K178,$K179,$K180)&lt;&gt;$F178,"⚠ Dağılım: "&amp;SUM($K178:$K180)&amp;"/"&amp;$F178&amp;" saat","✓ Tamam"))</f>
        <v/>
      </c>
      <c r="T178" s="37" t="str">
        <f aca="false">IF($A178&lt;&gt;"Seçildi","",IF(OR($O178&lt;&gt;"",$P178="⚠ Çakışma",$Q178="⚠ Çakışma",$R178="⚠ Çakışma",LEFT($S178&amp;" ",1)="⚠"),"⚠ Kontrol Et","✓ Uygun"))</f>
        <v/>
      </c>
    </row>
    <row r="179" customFormat="false" ht="13.5" hidden="false" customHeight="true" outlineLevel="0" collapsed="false">
      <c r="A179" s="37" t="str">
        <f aca="false">'1-Ders Havuzu'!K60</f>
        <v>Seçilmedi</v>
      </c>
      <c r="B179" s="37" t="str">
        <f aca="false">IF($A179="Seçildi",IF('1-Ders Havuzu'!C60="","",'1-Ders Havuzu'!C60),"")</f>
        <v/>
      </c>
      <c r="C179" s="38" t="str">
        <f aca="false">IF($A179="Seçildi",IF('1-Ders Havuzu'!D60="","",'1-Ders Havuzu'!D60),"")</f>
        <v/>
      </c>
      <c r="D179" s="37" t="str">
        <f aca="false">IF($A179="Seçildi",IF('1-Ders Havuzu'!B60="","",'1-Ders Havuzu'!B60),"")</f>
        <v/>
      </c>
      <c r="E179" s="37" t="str">
        <f aca="false">IF($A179="Seçildi",IF('1-Ders Havuzu'!A60="","",'1-Ders Havuzu'!A60),"")</f>
        <v/>
      </c>
      <c r="F179" s="37" t="str">
        <f aca="false">IF($A179="Seçildi",IF('1-Ders Havuzu'!H60="","",'1-Ders Havuzu'!H60),"")</f>
        <v/>
      </c>
      <c r="G179" s="37" t="str">
        <f aca="false">IF($A179="Seçildi",IF('2-Ders-Öğr.Elemanı Eşleştirme'!H60="","",'2-Ders-Öğr.Elemanı Eşleştirme'!H60),"")</f>
        <v/>
      </c>
      <c r="H179" s="39" t="n">
        <v>2</v>
      </c>
      <c r="I179" s="36"/>
      <c r="J179" s="36"/>
      <c r="K179" s="36"/>
      <c r="L179" s="36"/>
      <c r="M179" s="37" t="str">
        <f aca="false">IF($J179="","",MATCH($J179,{"08.00";"09.00";"10.00";"11.00";"12.00";"13.00";"14.00";"15.00";"16.00";"17.00"},0))</f>
        <v/>
      </c>
      <c r="N179" s="37" t="str">
        <f aca="false">IF(OR($M179="",$K179=""),"",$M179+$K179-1)</f>
        <v/>
      </c>
      <c r="O179" s="37" t="str">
        <f aca="false">IF($A179&lt;&gt;"Seçildi","",IF(OR($M179="",$N179=""),"",IF($N179&gt;10,"⚠ Saat Taşıyor","")))</f>
        <v/>
      </c>
      <c r="P179" s="37" t="str">
        <f aca="false">IF($A179&lt;&gt;"Seçildi","",IF(OR($G179="",$I179="",$M179=""),"",IF(SUMPRODUCT(($A$7:$A$456="Seçildi")*($G$7:$G$456=$G179)*($I$7:$I$456=$I179)*(ROW($A$7:$A$456)&lt;&gt;179)*($M$7:$M$456&lt;=$N179)*($N$7:$N$456&gt;=$M179))&gt;0,"⚠ Çakışma","OK")))</f>
        <v/>
      </c>
      <c r="Q179" s="37" t="str">
        <f aca="false">IF($A179&lt;&gt;"Seçildi","",IF(OR($L179="",$I179="",$M179=""),"",IF(SUMPRODUCT(($A$7:$A$456="Seçildi")*($L$7:$L$456=$L179)*($I$7:$I$456=$I179)*(ROW($A$7:$A$456)&lt;&gt;179)*($M$7:$M$456&lt;=$N179)*($N$7:$N$456&gt;=$M179))&gt;0,"⚠ Çakışma","OK")))</f>
        <v/>
      </c>
      <c r="R179" s="37" t="str">
        <f aca="false">IF($A179&lt;&gt;"Seçildi","",IF(OR($D179="",$I179="",$M179=""),"",IF(SUMPRODUCT(($A$7:$A$456="Seçildi")*($D$7:$D$456=$D179)*($I$7:$I$456=$I179)*(ROW($A$7:$A$456)&lt;&gt;179)*($M$7:$M$456&lt;=$N179)*($N$7:$N$456&gt;=$M179))&gt;0,"⚠ Çakışma","OK")))</f>
        <v/>
      </c>
      <c r="S179" s="37"/>
      <c r="T179" s="37" t="str">
        <f aca="false">IF(OR($A179&lt;&gt;"Seçildi",AND($I179="",$J179="")),"",IF(OR($O179&lt;&gt;"",$P179="⚠ Çakışma",$Q179="⚠ Çakışma",$R179="⚠ Çakışma"),"⚠ Kontrol Et","✓ Uygun"))</f>
        <v/>
      </c>
    </row>
    <row r="180" customFormat="false" ht="13.5" hidden="false" customHeight="true" outlineLevel="0" collapsed="false">
      <c r="A180" s="37" t="str">
        <f aca="false">'1-Ders Havuzu'!K60</f>
        <v>Seçilmedi</v>
      </c>
      <c r="B180" s="37" t="str">
        <f aca="false">IF($A180="Seçildi",IF('1-Ders Havuzu'!C60="","",'1-Ders Havuzu'!C60),"")</f>
        <v/>
      </c>
      <c r="C180" s="38" t="str">
        <f aca="false">IF($A180="Seçildi",IF('1-Ders Havuzu'!D60="","",'1-Ders Havuzu'!D60),"")</f>
        <v/>
      </c>
      <c r="D180" s="37" t="str">
        <f aca="false">IF($A180="Seçildi",IF('1-Ders Havuzu'!B60="","",'1-Ders Havuzu'!B60),"")</f>
        <v/>
      </c>
      <c r="E180" s="37" t="str">
        <f aca="false">IF($A180="Seçildi",IF('1-Ders Havuzu'!A60="","",'1-Ders Havuzu'!A60),"")</f>
        <v/>
      </c>
      <c r="F180" s="37" t="str">
        <f aca="false">IF($A180="Seçildi",IF('1-Ders Havuzu'!H60="","",'1-Ders Havuzu'!H60),"")</f>
        <v/>
      </c>
      <c r="G180" s="37" t="str">
        <f aca="false">IF($A180="Seçildi",IF('2-Ders-Öğr.Elemanı Eşleştirme'!H60="","",'2-Ders-Öğr.Elemanı Eşleştirme'!H60),"")</f>
        <v/>
      </c>
      <c r="H180" s="39" t="n">
        <v>3</v>
      </c>
      <c r="I180" s="36"/>
      <c r="J180" s="36"/>
      <c r="K180" s="36"/>
      <c r="L180" s="36"/>
      <c r="M180" s="37" t="str">
        <f aca="false">IF($J180="","",MATCH($J180,{"08.00";"09.00";"10.00";"11.00";"12.00";"13.00";"14.00";"15.00";"16.00";"17.00"},0))</f>
        <v/>
      </c>
      <c r="N180" s="37" t="str">
        <f aca="false">IF(OR($M180="",$K180=""),"",$M180+$K180-1)</f>
        <v/>
      </c>
      <c r="O180" s="37" t="str">
        <f aca="false">IF($A180&lt;&gt;"Seçildi","",IF(OR($M180="",$N180=""),"",IF($N180&gt;10,"⚠ Saat Taşıyor","")))</f>
        <v/>
      </c>
      <c r="P180" s="37" t="str">
        <f aca="false">IF($A180&lt;&gt;"Seçildi","",IF(OR($G180="",$I180="",$M180=""),"",IF(SUMPRODUCT(($A$7:$A$456="Seçildi")*($G$7:$G$456=$G180)*($I$7:$I$456=$I180)*(ROW($A$7:$A$456)&lt;&gt;180)*($M$7:$M$456&lt;=$N180)*($N$7:$N$456&gt;=$M180))&gt;0,"⚠ Çakışma","OK")))</f>
        <v/>
      </c>
      <c r="Q180" s="37" t="str">
        <f aca="false">IF($A180&lt;&gt;"Seçildi","",IF(OR($L180="",$I180="",$M180=""),"",IF(SUMPRODUCT(($A$7:$A$456="Seçildi")*($L$7:$L$456=$L180)*($I$7:$I$456=$I180)*(ROW($A$7:$A$456)&lt;&gt;180)*($M$7:$M$456&lt;=$N180)*($N$7:$N$456&gt;=$M180))&gt;0,"⚠ Çakışma","OK")))</f>
        <v/>
      </c>
      <c r="R180" s="37" t="str">
        <f aca="false">IF($A180&lt;&gt;"Seçildi","",IF(OR($D180="",$I180="",$M180=""),"",IF(SUMPRODUCT(($A$7:$A$456="Seçildi")*($D$7:$D$456=$D180)*($I$7:$I$456=$I180)*(ROW($A$7:$A$456)&lt;&gt;180)*($M$7:$M$456&lt;=$N180)*($N$7:$N$456&gt;=$M180))&gt;0,"⚠ Çakışma","OK")))</f>
        <v/>
      </c>
      <c r="S180" s="37"/>
      <c r="T180" s="37" t="str">
        <f aca="false">IF(OR($A180&lt;&gt;"Seçildi",AND($I180="",$J180="")),"",IF(OR($O180&lt;&gt;"",$P180="⚠ Çakışma",$Q180="⚠ Çakışma",$R180="⚠ Çakışma"),"⚠ Kontrol Et","✓ Uygun"))</f>
        <v/>
      </c>
    </row>
    <row r="181" customFormat="false" ht="13.5" hidden="false" customHeight="true" outlineLevel="0" collapsed="false">
      <c r="A181" s="33" t="str">
        <f aca="false">'1-Ders Havuzu'!K61</f>
        <v>Seçilmedi</v>
      </c>
      <c r="B181" s="33" t="str">
        <f aca="false">IF($A181="Seçildi",IF('1-Ders Havuzu'!C61="","",'1-Ders Havuzu'!C61),"")</f>
        <v/>
      </c>
      <c r="C181" s="34" t="str">
        <f aca="false">IF($A181="Seçildi",IF('1-Ders Havuzu'!D61="","",'1-Ders Havuzu'!D61),"")</f>
        <v/>
      </c>
      <c r="D181" s="33" t="str">
        <f aca="false">IF($A181="Seçildi",IF('1-Ders Havuzu'!B61="","",'1-Ders Havuzu'!B61),"")</f>
        <v/>
      </c>
      <c r="E181" s="33" t="str">
        <f aca="false">IF($A181="Seçildi",IF('1-Ders Havuzu'!A61="","",'1-Ders Havuzu'!A61),"")</f>
        <v/>
      </c>
      <c r="F181" s="33" t="str">
        <f aca="false">IF($A181="Seçildi",IF('1-Ders Havuzu'!H61="","",'1-Ders Havuzu'!H61),"")</f>
        <v/>
      </c>
      <c r="G181" s="33" t="str">
        <f aca="false">IF($A181="Seçildi",IF('2-Ders-Öğr.Elemanı Eşleştirme'!H61="","",'2-Ders-Öğr.Elemanı Eşleştirme'!H61),"")</f>
        <v/>
      </c>
      <c r="H181" s="35" t="n">
        <v>1</v>
      </c>
      <c r="I181" s="36"/>
      <c r="J181" s="36"/>
      <c r="K181" s="36"/>
      <c r="L181" s="36"/>
      <c r="M181" s="33" t="str">
        <f aca="false">IF($J181="","",MATCH($J181,{"08.00";"09.00";"10.00";"11.00";"12.00";"13.00";"14.00";"15.00";"16.00";"17.00"},0))</f>
        <v/>
      </c>
      <c r="N181" s="33" t="str">
        <f aca="false">IF(OR($M181="",$K181=""),"",$M181+$K181-1)</f>
        <v/>
      </c>
      <c r="O181" s="33" t="str">
        <f aca="false">IF($A181&lt;&gt;"Seçildi","",IF(OR($M181="",$N181=""),"",IF($N181&gt;10,"⚠ Saat Taşıyor","")))</f>
        <v/>
      </c>
      <c r="P181" s="33" t="str">
        <f aca="false">IF($A181&lt;&gt;"Seçildi","",IF(OR($G181="",$I181="",$M181=""),"",IF(SUMPRODUCT(($A$7:$A$456="Seçildi")*($G$7:$G$456=$G181)*($I$7:$I$456=$I181)*(ROW($A$7:$A$456)&lt;&gt;181)*($M$7:$M$456&lt;=$N181)*($N$7:$N$456&gt;=$M181))&gt;0,"⚠ Çakışma","OK")))</f>
        <v/>
      </c>
      <c r="Q181" s="33" t="str">
        <f aca="false">IF($A181&lt;&gt;"Seçildi","",IF(OR($L181="",$I181="",$M181=""),"",IF(SUMPRODUCT(($A$7:$A$456="Seçildi")*($L$7:$L$456=$L181)*($I$7:$I$456=$I181)*(ROW($A$7:$A$456)&lt;&gt;181)*($M$7:$M$456&lt;=$N181)*($N$7:$N$456&gt;=$M181))&gt;0,"⚠ Çakışma","OK")))</f>
        <v/>
      </c>
      <c r="R181" s="33" t="str">
        <f aca="false">IF($A181&lt;&gt;"Seçildi","",IF(OR($D181="",$I181="",$M181=""),"",IF(SUMPRODUCT(($A$7:$A$456="Seçildi")*($D$7:$D$456=$D181)*($I$7:$I$456=$I181)*(ROW($A$7:$A$456)&lt;&gt;181)*($M$7:$M$456&lt;=$N181)*($N$7:$N$456&gt;=$M181))&gt;0,"⚠ Çakışma","OK")))</f>
        <v/>
      </c>
      <c r="S181" s="33" t="str">
        <f aca="false">IF($A181&lt;&gt;"Seçildi","",IF(SUM($K181,$K182,$K183)&lt;&gt;$F181,"⚠ Dağılım: "&amp;SUM($K181:$K183)&amp;"/"&amp;$F181&amp;" saat","✓ Tamam"))</f>
        <v/>
      </c>
      <c r="T181" s="33" t="str">
        <f aca="false">IF($A181&lt;&gt;"Seçildi","",IF(OR($O181&lt;&gt;"",$P181="⚠ Çakışma",$Q181="⚠ Çakışma",$R181="⚠ Çakışma",LEFT($S181&amp;" ",1)="⚠"),"⚠ Kontrol Et","✓ Uygun"))</f>
        <v/>
      </c>
    </row>
    <row r="182" customFormat="false" ht="13.5" hidden="false" customHeight="true" outlineLevel="0" collapsed="false">
      <c r="A182" s="33" t="str">
        <f aca="false">'1-Ders Havuzu'!K61</f>
        <v>Seçilmedi</v>
      </c>
      <c r="B182" s="33" t="str">
        <f aca="false">IF($A182="Seçildi",IF('1-Ders Havuzu'!C61="","",'1-Ders Havuzu'!C61),"")</f>
        <v/>
      </c>
      <c r="C182" s="34" t="str">
        <f aca="false">IF($A182="Seçildi",IF('1-Ders Havuzu'!D61="","",'1-Ders Havuzu'!D61),"")</f>
        <v/>
      </c>
      <c r="D182" s="33" t="str">
        <f aca="false">IF($A182="Seçildi",IF('1-Ders Havuzu'!B61="","",'1-Ders Havuzu'!B61),"")</f>
        <v/>
      </c>
      <c r="E182" s="33" t="str">
        <f aca="false">IF($A182="Seçildi",IF('1-Ders Havuzu'!A61="","",'1-Ders Havuzu'!A61),"")</f>
        <v/>
      </c>
      <c r="F182" s="33" t="str">
        <f aca="false">IF($A182="Seçildi",IF('1-Ders Havuzu'!H61="","",'1-Ders Havuzu'!H61),"")</f>
        <v/>
      </c>
      <c r="G182" s="33" t="str">
        <f aca="false">IF($A182="Seçildi",IF('2-Ders-Öğr.Elemanı Eşleştirme'!H61="","",'2-Ders-Öğr.Elemanı Eşleştirme'!H61),"")</f>
        <v/>
      </c>
      <c r="H182" s="35" t="n">
        <v>2</v>
      </c>
      <c r="I182" s="36"/>
      <c r="J182" s="36"/>
      <c r="K182" s="36"/>
      <c r="L182" s="36"/>
      <c r="M182" s="33" t="str">
        <f aca="false">IF($J182="","",MATCH($J182,{"08.00";"09.00";"10.00";"11.00";"12.00";"13.00";"14.00";"15.00";"16.00";"17.00"},0))</f>
        <v/>
      </c>
      <c r="N182" s="33" t="str">
        <f aca="false">IF(OR($M182="",$K182=""),"",$M182+$K182-1)</f>
        <v/>
      </c>
      <c r="O182" s="33" t="str">
        <f aca="false">IF($A182&lt;&gt;"Seçildi","",IF(OR($M182="",$N182=""),"",IF($N182&gt;10,"⚠ Saat Taşıyor","")))</f>
        <v/>
      </c>
      <c r="P182" s="33" t="str">
        <f aca="false">IF($A182&lt;&gt;"Seçildi","",IF(OR($G182="",$I182="",$M182=""),"",IF(SUMPRODUCT(($A$7:$A$456="Seçildi")*($G$7:$G$456=$G182)*($I$7:$I$456=$I182)*(ROW($A$7:$A$456)&lt;&gt;182)*($M$7:$M$456&lt;=$N182)*($N$7:$N$456&gt;=$M182))&gt;0,"⚠ Çakışma","OK")))</f>
        <v/>
      </c>
      <c r="Q182" s="33" t="str">
        <f aca="false">IF($A182&lt;&gt;"Seçildi","",IF(OR($L182="",$I182="",$M182=""),"",IF(SUMPRODUCT(($A$7:$A$456="Seçildi")*($L$7:$L$456=$L182)*($I$7:$I$456=$I182)*(ROW($A$7:$A$456)&lt;&gt;182)*($M$7:$M$456&lt;=$N182)*($N$7:$N$456&gt;=$M182))&gt;0,"⚠ Çakışma","OK")))</f>
        <v/>
      </c>
      <c r="R182" s="33" t="str">
        <f aca="false">IF($A182&lt;&gt;"Seçildi","",IF(OR($D182="",$I182="",$M182=""),"",IF(SUMPRODUCT(($A$7:$A$456="Seçildi")*($D$7:$D$456=$D182)*($I$7:$I$456=$I182)*(ROW($A$7:$A$456)&lt;&gt;182)*($M$7:$M$456&lt;=$N182)*($N$7:$N$456&gt;=$M182))&gt;0,"⚠ Çakışma","OK")))</f>
        <v/>
      </c>
      <c r="S182" s="33"/>
      <c r="T182" s="33" t="str">
        <f aca="false">IF(OR($A182&lt;&gt;"Seçildi",AND($I182="",$J182="")),"",IF(OR($O182&lt;&gt;"",$P182="⚠ Çakışma",$Q182="⚠ Çakışma",$R182="⚠ Çakışma"),"⚠ Kontrol Et","✓ Uygun"))</f>
        <v/>
      </c>
    </row>
    <row r="183" customFormat="false" ht="13.5" hidden="false" customHeight="true" outlineLevel="0" collapsed="false">
      <c r="A183" s="33" t="str">
        <f aca="false">'1-Ders Havuzu'!K61</f>
        <v>Seçilmedi</v>
      </c>
      <c r="B183" s="33" t="str">
        <f aca="false">IF($A183="Seçildi",IF('1-Ders Havuzu'!C61="","",'1-Ders Havuzu'!C61),"")</f>
        <v/>
      </c>
      <c r="C183" s="34" t="str">
        <f aca="false">IF($A183="Seçildi",IF('1-Ders Havuzu'!D61="","",'1-Ders Havuzu'!D61),"")</f>
        <v/>
      </c>
      <c r="D183" s="33" t="str">
        <f aca="false">IF($A183="Seçildi",IF('1-Ders Havuzu'!B61="","",'1-Ders Havuzu'!B61),"")</f>
        <v/>
      </c>
      <c r="E183" s="33" t="str">
        <f aca="false">IF($A183="Seçildi",IF('1-Ders Havuzu'!A61="","",'1-Ders Havuzu'!A61),"")</f>
        <v/>
      </c>
      <c r="F183" s="33" t="str">
        <f aca="false">IF($A183="Seçildi",IF('1-Ders Havuzu'!H61="","",'1-Ders Havuzu'!H61),"")</f>
        <v/>
      </c>
      <c r="G183" s="33" t="str">
        <f aca="false">IF($A183="Seçildi",IF('2-Ders-Öğr.Elemanı Eşleştirme'!H61="","",'2-Ders-Öğr.Elemanı Eşleştirme'!H61),"")</f>
        <v/>
      </c>
      <c r="H183" s="35" t="n">
        <v>3</v>
      </c>
      <c r="I183" s="36"/>
      <c r="J183" s="36"/>
      <c r="K183" s="36"/>
      <c r="L183" s="36"/>
      <c r="M183" s="33" t="str">
        <f aca="false">IF($J183="","",MATCH($J183,{"08.00";"09.00";"10.00";"11.00";"12.00";"13.00";"14.00";"15.00";"16.00";"17.00"},0))</f>
        <v/>
      </c>
      <c r="N183" s="33" t="str">
        <f aca="false">IF(OR($M183="",$K183=""),"",$M183+$K183-1)</f>
        <v/>
      </c>
      <c r="O183" s="33" t="str">
        <f aca="false">IF($A183&lt;&gt;"Seçildi","",IF(OR($M183="",$N183=""),"",IF($N183&gt;10,"⚠ Saat Taşıyor","")))</f>
        <v/>
      </c>
      <c r="P183" s="33" t="str">
        <f aca="false">IF($A183&lt;&gt;"Seçildi","",IF(OR($G183="",$I183="",$M183=""),"",IF(SUMPRODUCT(($A$7:$A$456="Seçildi")*($G$7:$G$456=$G183)*($I$7:$I$456=$I183)*(ROW($A$7:$A$456)&lt;&gt;183)*($M$7:$M$456&lt;=$N183)*($N$7:$N$456&gt;=$M183))&gt;0,"⚠ Çakışma","OK")))</f>
        <v/>
      </c>
      <c r="Q183" s="33" t="str">
        <f aca="false">IF($A183&lt;&gt;"Seçildi","",IF(OR($L183="",$I183="",$M183=""),"",IF(SUMPRODUCT(($A$7:$A$456="Seçildi")*($L$7:$L$456=$L183)*($I$7:$I$456=$I183)*(ROW($A$7:$A$456)&lt;&gt;183)*($M$7:$M$456&lt;=$N183)*($N$7:$N$456&gt;=$M183))&gt;0,"⚠ Çakışma","OK")))</f>
        <v/>
      </c>
      <c r="R183" s="33" t="str">
        <f aca="false">IF($A183&lt;&gt;"Seçildi","",IF(OR($D183="",$I183="",$M183=""),"",IF(SUMPRODUCT(($A$7:$A$456="Seçildi")*($D$7:$D$456=$D183)*($I$7:$I$456=$I183)*(ROW($A$7:$A$456)&lt;&gt;183)*($M$7:$M$456&lt;=$N183)*($N$7:$N$456&gt;=$M183))&gt;0,"⚠ Çakışma","OK")))</f>
        <v/>
      </c>
      <c r="S183" s="33"/>
      <c r="T183" s="33" t="str">
        <f aca="false">IF(OR($A183&lt;&gt;"Seçildi",AND($I183="",$J183="")),"",IF(OR($O183&lt;&gt;"",$P183="⚠ Çakışma",$Q183="⚠ Çakışma",$R183="⚠ Çakışma"),"⚠ Kontrol Et","✓ Uygun"))</f>
        <v/>
      </c>
    </row>
    <row r="184" customFormat="false" ht="13.5" hidden="false" customHeight="true" outlineLevel="0" collapsed="false">
      <c r="A184" s="37" t="str">
        <f aca="false">'1-Ders Havuzu'!K62</f>
        <v>Seçilmedi</v>
      </c>
      <c r="B184" s="37" t="str">
        <f aca="false">IF($A184="Seçildi",IF('1-Ders Havuzu'!C62="","",'1-Ders Havuzu'!C62),"")</f>
        <v/>
      </c>
      <c r="C184" s="38" t="str">
        <f aca="false">IF($A184="Seçildi",IF('1-Ders Havuzu'!D62="","",'1-Ders Havuzu'!D62),"")</f>
        <v/>
      </c>
      <c r="D184" s="37" t="str">
        <f aca="false">IF($A184="Seçildi",IF('1-Ders Havuzu'!B62="","",'1-Ders Havuzu'!B62),"")</f>
        <v/>
      </c>
      <c r="E184" s="37" t="str">
        <f aca="false">IF($A184="Seçildi",IF('1-Ders Havuzu'!A62="","",'1-Ders Havuzu'!A62),"")</f>
        <v/>
      </c>
      <c r="F184" s="37" t="str">
        <f aca="false">IF($A184="Seçildi",IF('1-Ders Havuzu'!H62="","",'1-Ders Havuzu'!H62),"")</f>
        <v/>
      </c>
      <c r="G184" s="37" t="str">
        <f aca="false">IF($A184="Seçildi",IF('2-Ders-Öğr.Elemanı Eşleştirme'!H62="","",'2-Ders-Öğr.Elemanı Eşleştirme'!H62),"")</f>
        <v/>
      </c>
      <c r="H184" s="39" t="n">
        <v>1</v>
      </c>
      <c r="I184" s="36"/>
      <c r="J184" s="36"/>
      <c r="K184" s="36"/>
      <c r="L184" s="36"/>
      <c r="M184" s="37" t="str">
        <f aca="false">IF($J184="","",MATCH($J184,{"08.00";"09.00";"10.00";"11.00";"12.00";"13.00";"14.00";"15.00";"16.00";"17.00"},0))</f>
        <v/>
      </c>
      <c r="N184" s="37" t="str">
        <f aca="false">IF(OR($M184="",$K184=""),"",$M184+$K184-1)</f>
        <v/>
      </c>
      <c r="O184" s="37" t="str">
        <f aca="false">IF($A184&lt;&gt;"Seçildi","",IF(OR($M184="",$N184=""),"",IF($N184&gt;10,"⚠ Saat Taşıyor","")))</f>
        <v/>
      </c>
      <c r="P184" s="37" t="str">
        <f aca="false">IF($A184&lt;&gt;"Seçildi","",IF(OR($G184="",$I184="",$M184=""),"",IF(SUMPRODUCT(($A$7:$A$456="Seçildi")*($G$7:$G$456=$G184)*($I$7:$I$456=$I184)*(ROW($A$7:$A$456)&lt;&gt;184)*($M$7:$M$456&lt;=$N184)*($N$7:$N$456&gt;=$M184))&gt;0,"⚠ Çakışma","OK")))</f>
        <v/>
      </c>
      <c r="Q184" s="37" t="str">
        <f aca="false">IF($A184&lt;&gt;"Seçildi","",IF(OR($L184="",$I184="",$M184=""),"",IF(SUMPRODUCT(($A$7:$A$456="Seçildi")*($L$7:$L$456=$L184)*($I$7:$I$456=$I184)*(ROW($A$7:$A$456)&lt;&gt;184)*($M$7:$M$456&lt;=$N184)*($N$7:$N$456&gt;=$M184))&gt;0,"⚠ Çakışma","OK")))</f>
        <v/>
      </c>
      <c r="R184" s="37" t="str">
        <f aca="false">IF($A184&lt;&gt;"Seçildi","",IF(OR($D184="",$I184="",$M184=""),"",IF(SUMPRODUCT(($A$7:$A$456="Seçildi")*($D$7:$D$456=$D184)*($I$7:$I$456=$I184)*(ROW($A$7:$A$456)&lt;&gt;184)*($M$7:$M$456&lt;=$N184)*($N$7:$N$456&gt;=$M184))&gt;0,"⚠ Çakışma","OK")))</f>
        <v/>
      </c>
      <c r="S184" s="37" t="str">
        <f aca="false">IF($A184&lt;&gt;"Seçildi","",IF(SUM($K184,$K185,$K186)&lt;&gt;$F184,"⚠ Dağılım: "&amp;SUM($K184:$K186)&amp;"/"&amp;$F184&amp;" saat","✓ Tamam"))</f>
        <v/>
      </c>
      <c r="T184" s="37" t="str">
        <f aca="false">IF($A184&lt;&gt;"Seçildi","",IF(OR($O184&lt;&gt;"",$P184="⚠ Çakışma",$Q184="⚠ Çakışma",$R184="⚠ Çakışma",LEFT($S184&amp;" ",1)="⚠"),"⚠ Kontrol Et","✓ Uygun"))</f>
        <v/>
      </c>
    </row>
    <row r="185" customFormat="false" ht="13.5" hidden="false" customHeight="true" outlineLevel="0" collapsed="false">
      <c r="A185" s="37" t="str">
        <f aca="false">'1-Ders Havuzu'!K62</f>
        <v>Seçilmedi</v>
      </c>
      <c r="B185" s="37" t="str">
        <f aca="false">IF($A185="Seçildi",IF('1-Ders Havuzu'!C62="","",'1-Ders Havuzu'!C62),"")</f>
        <v/>
      </c>
      <c r="C185" s="38" t="str">
        <f aca="false">IF($A185="Seçildi",IF('1-Ders Havuzu'!D62="","",'1-Ders Havuzu'!D62),"")</f>
        <v/>
      </c>
      <c r="D185" s="37" t="str">
        <f aca="false">IF($A185="Seçildi",IF('1-Ders Havuzu'!B62="","",'1-Ders Havuzu'!B62),"")</f>
        <v/>
      </c>
      <c r="E185" s="37" t="str">
        <f aca="false">IF($A185="Seçildi",IF('1-Ders Havuzu'!A62="","",'1-Ders Havuzu'!A62),"")</f>
        <v/>
      </c>
      <c r="F185" s="37" t="str">
        <f aca="false">IF($A185="Seçildi",IF('1-Ders Havuzu'!H62="","",'1-Ders Havuzu'!H62),"")</f>
        <v/>
      </c>
      <c r="G185" s="37" t="str">
        <f aca="false">IF($A185="Seçildi",IF('2-Ders-Öğr.Elemanı Eşleştirme'!H62="","",'2-Ders-Öğr.Elemanı Eşleştirme'!H62),"")</f>
        <v/>
      </c>
      <c r="H185" s="39" t="n">
        <v>2</v>
      </c>
      <c r="I185" s="36"/>
      <c r="J185" s="36"/>
      <c r="K185" s="36"/>
      <c r="L185" s="36"/>
      <c r="M185" s="37" t="str">
        <f aca="false">IF($J185="","",MATCH($J185,{"08.00";"09.00";"10.00";"11.00";"12.00";"13.00";"14.00";"15.00";"16.00";"17.00"},0))</f>
        <v/>
      </c>
      <c r="N185" s="37" t="str">
        <f aca="false">IF(OR($M185="",$K185=""),"",$M185+$K185-1)</f>
        <v/>
      </c>
      <c r="O185" s="37" t="str">
        <f aca="false">IF($A185&lt;&gt;"Seçildi","",IF(OR($M185="",$N185=""),"",IF($N185&gt;10,"⚠ Saat Taşıyor","")))</f>
        <v/>
      </c>
      <c r="P185" s="37" t="str">
        <f aca="false">IF($A185&lt;&gt;"Seçildi","",IF(OR($G185="",$I185="",$M185=""),"",IF(SUMPRODUCT(($A$7:$A$456="Seçildi")*($G$7:$G$456=$G185)*($I$7:$I$456=$I185)*(ROW($A$7:$A$456)&lt;&gt;185)*($M$7:$M$456&lt;=$N185)*($N$7:$N$456&gt;=$M185))&gt;0,"⚠ Çakışma","OK")))</f>
        <v/>
      </c>
      <c r="Q185" s="37" t="str">
        <f aca="false">IF($A185&lt;&gt;"Seçildi","",IF(OR($L185="",$I185="",$M185=""),"",IF(SUMPRODUCT(($A$7:$A$456="Seçildi")*($L$7:$L$456=$L185)*($I$7:$I$456=$I185)*(ROW($A$7:$A$456)&lt;&gt;185)*($M$7:$M$456&lt;=$N185)*($N$7:$N$456&gt;=$M185))&gt;0,"⚠ Çakışma","OK")))</f>
        <v/>
      </c>
      <c r="R185" s="37" t="str">
        <f aca="false">IF($A185&lt;&gt;"Seçildi","",IF(OR($D185="",$I185="",$M185=""),"",IF(SUMPRODUCT(($A$7:$A$456="Seçildi")*($D$7:$D$456=$D185)*($I$7:$I$456=$I185)*(ROW($A$7:$A$456)&lt;&gt;185)*($M$7:$M$456&lt;=$N185)*($N$7:$N$456&gt;=$M185))&gt;0,"⚠ Çakışma","OK")))</f>
        <v/>
      </c>
      <c r="S185" s="37"/>
      <c r="T185" s="37" t="str">
        <f aca="false">IF(OR($A185&lt;&gt;"Seçildi",AND($I185="",$J185="")),"",IF(OR($O185&lt;&gt;"",$P185="⚠ Çakışma",$Q185="⚠ Çakışma",$R185="⚠ Çakışma"),"⚠ Kontrol Et","✓ Uygun"))</f>
        <v/>
      </c>
    </row>
    <row r="186" customFormat="false" ht="13.5" hidden="false" customHeight="true" outlineLevel="0" collapsed="false">
      <c r="A186" s="37" t="str">
        <f aca="false">'1-Ders Havuzu'!K62</f>
        <v>Seçilmedi</v>
      </c>
      <c r="B186" s="37" t="str">
        <f aca="false">IF($A186="Seçildi",IF('1-Ders Havuzu'!C62="","",'1-Ders Havuzu'!C62),"")</f>
        <v/>
      </c>
      <c r="C186" s="38" t="str">
        <f aca="false">IF($A186="Seçildi",IF('1-Ders Havuzu'!D62="","",'1-Ders Havuzu'!D62),"")</f>
        <v/>
      </c>
      <c r="D186" s="37" t="str">
        <f aca="false">IF($A186="Seçildi",IF('1-Ders Havuzu'!B62="","",'1-Ders Havuzu'!B62),"")</f>
        <v/>
      </c>
      <c r="E186" s="37" t="str">
        <f aca="false">IF($A186="Seçildi",IF('1-Ders Havuzu'!A62="","",'1-Ders Havuzu'!A62),"")</f>
        <v/>
      </c>
      <c r="F186" s="37" t="str">
        <f aca="false">IF($A186="Seçildi",IF('1-Ders Havuzu'!H62="","",'1-Ders Havuzu'!H62),"")</f>
        <v/>
      </c>
      <c r="G186" s="37" t="str">
        <f aca="false">IF($A186="Seçildi",IF('2-Ders-Öğr.Elemanı Eşleştirme'!H62="","",'2-Ders-Öğr.Elemanı Eşleştirme'!H62),"")</f>
        <v/>
      </c>
      <c r="H186" s="39" t="n">
        <v>3</v>
      </c>
      <c r="I186" s="36"/>
      <c r="J186" s="36"/>
      <c r="K186" s="36"/>
      <c r="L186" s="36"/>
      <c r="M186" s="37" t="str">
        <f aca="false">IF($J186="","",MATCH($J186,{"08.00";"09.00";"10.00";"11.00";"12.00";"13.00";"14.00";"15.00";"16.00";"17.00"},0))</f>
        <v/>
      </c>
      <c r="N186" s="37" t="str">
        <f aca="false">IF(OR($M186="",$K186=""),"",$M186+$K186-1)</f>
        <v/>
      </c>
      <c r="O186" s="37" t="str">
        <f aca="false">IF($A186&lt;&gt;"Seçildi","",IF(OR($M186="",$N186=""),"",IF($N186&gt;10,"⚠ Saat Taşıyor","")))</f>
        <v/>
      </c>
      <c r="P186" s="37" t="str">
        <f aca="false">IF($A186&lt;&gt;"Seçildi","",IF(OR($G186="",$I186="",$M186=""),"",IF(SUMPRODUCT(($A$7:$A$456="Seçildi")*($G$7:$G$456=$G186)*($I$7:$I$456=$I186)*(ROW($A$7:$A$456)&lt;&gt;186)*($M$7:$M$456&lt;=$N186)*($N$7:$N$456&gt;=$M186))&gt;0,"⚠ Çakışma","OK")))</f>
        <v/>
      </c>
      <c r="Q186" s="37" t="str">
        <f aca="false">IF($A186&lt;&gt;"Seçildi","",IF(OR($L186="",$I186="",$M186=""),"",IF(SUMPRODUCT(($A$7:$A$456="Seçildi")*($L$7:$L$456=$L186)*($I$7:$I$456=$I186)*(ROW($A$7:$A$456)&lt;&gt;186)*($M$7:$M$456&lt;=$N186)*($N$7:$N$456&gt;=$M186))&gt;0,"⚠ Çakışma","OK")))</f>
        <v/>
      </c>
      <c r="R186" s="37" t="str">
        <f aca="false">IF($A186&lt;&gt;"Seçildi","",IF(OR($D186="",$I186="",$M186=""),"",IF(SUMPRODUCT(($A$7:$A$456="Seçildi")*($D$7:$D$456=$D186)*($I$7:$I$456=$I186)*(ROW($A$7:$A$456)&lt;&gt;186)*($M$7:$M$456&lt;=$N186)*($N$7:$N$456&gt;=$M186))&gt;0,"⚠ Çakışma","OK")))</f>
        <v/>
      </c>
      <c r="S186" s="37"/>
      <c r="T186" s="37" t="str">
        <f aca="false">IF(OR($A186&lt;&gt;"Seçildi",AND($I186="",$J186="")),"",IF(OR($O186&lt;&gt;"",$P186="⚠ Çakışma",$Q186="⚠ Çakışma",$R186="⚠ Çakışma"),"⚠ Kontrol Et","✓ Uygun"))</f>
        <v/>
      </c>
    </row>
    <row r="187" customFormat="false" ht="13.5" hidden="false" customHeight="true" outlineLevel="0" collapsed="false">
      <c r="A187" s="33" t="str">
        <f aca="false">'1-Ders Havuzu'!K63</f>
        <v>Seçilmedi</v>
      </c>
      <c r="B187" s="33" t="str">
        <f aca="false">IF($A187="Seçildi",IF('1-Ders Havuzu'!C63="","",'1-Ders Havuzu'!C63),"")</f>
        <v/>
      </c>
      <c r="C187" s="34" t="str">
        <f aca="false">IF($A187="Seçildi",IF('1-Ders Havuzu'!D63="","",'1-Ders Havuzu'!D63),"")</f>
        <v/>
      </c>
      <c r="D187" s="33" t="str">
        <f aca="false">IF($A187="Seçildi",IF('1-Ders Havuzu'!B63="","",'1-Ders Havuzu'!B63),"")</f>
        <v/>
      </c>
      <c r="E187" s="33" t="str">
        <f aca="false">IF($A187="Seçildi",IF('1-Ders Havuzu'!A63="","",'1-Ders Havuzu'!A63),"")</f>
        <v/>
      </c>
      <c r="F187" s="33" t="str">
        <f aca="false">IF($A187="Seçildi",IF('1-Ders Havuzu'!H63="","",'1-Ders Havuzu'!H63),"")</f>
        <v/>
      </c>
      <c r="G187" s="33" t="str">
        <f aca="false">IF($A187="Seçildi",IF('2-Ders-Öğr.Elemanı Eşleştirme'!H63="","",'2-Ders-Öğr.Elemanı Eşleştirme'!H63),"")</f>
        <v/>
      </c>
      <c r="H187" s="35" t="n">
        <v>1</v>
      </c>
      <c r="I187" s="36"/>
      <c r="J187" s="36"/>
      <c r="K187" s="36"/>
      <c r="L187" s="36"/>
      <c r="M187" s="33" t="str">
        <f aca="false">IF($J187="","",MATCH($J187,{"08.00";"09.00";"10.00";"11.00";"12.00";"13.00";"14.00";"15.00";"16.00";"17.00"},0))</f>
        <v/>
      </c>
      <c r="N187" s="33" t="str">
        <f aca="false">IF(OR($M187="",$K187=""),"",$M187+$K187-1)</f>
        <v/>
      </c>
      <c r="O187" s="33" t="str">
        <f aca="false">IF($A187&lt;&gt;"Seçildi","",IF(OR($M187="",$N187=""),"",IF($N187&gt;10,"⚠ Saat Taşıyor","")))</f>
        <v/>
      </c>
      <c r="P187" s="33" t="str">
        <f aca="false">IF($A187&lt;&gt;"Seçildi","",IF(OR($G187="",$I187="",$M187=""),"",IF(SUMPRODUCT(($A$7:$A$456="Seçildi")*($G$7:$G$456=$G187)*($I$7:$I$456=$I187)*(ROW($A$7:$A$456)&lt;&gt;187)*($M$7:$M$456&lt;=$N187)*($N$7:$N$456&gt;=$M187))&gt;0,"⚠ Çakışma","OK")))</f>
        <v/>
      </c>
      <c r="Q187" s="33" t="str">
        <f aca="false">IF($A187&lt;&gt;"Seçildi","",IF(OR($L187="",$I187="",$M187=""),"",IF(SUMPRODUCT(($A$7:$A$456="Seçildi")*($L$7:$L$456=$L187)*($I$7:$I$456=$I187)*(ROW($A$7:$A$456)&lt;&gt;187)*($M$7:$M$456&lt;=$N187)*($N$7:$N$456&gt;=$M187))&gt;0,"⚠ Çakışma","OK")))</f>
        <v/>
      </c>
      <c r="R187" s="33" t="str">
        <f aca="false">IF($A187&lt;&gt;"Seçildi","",IF(OR($D187="",$I187="",$M187=""),"",IF(SUMPRODUCT(($A$7:$A$456="Seçildi")*($D$7:$D$456=$D187)*($I$7:$I$456=$I187)*(ROW($A$7:$A$456)&lt;&gt;187)*($M$7:$M$456&lt;=$N187)*($N$7:$N$456&gt;=$M187))&gt;0,"⚠ Çakışma","OK")))</f>
        <v/>
      </c>
      <c r="S187" s="33" t="str">
        <f aca="false">IF($A187&lt;&gt;"Seçildi","",IF(SUM($K187,$K188,$K189)&lt;&gt;$F187,"⚠ Dağılım: "&amp;SUM($K187:$K189)&amp;"/"&amp;$F187&amp;" saat","✓ Tamam"))</f>
        <v/>
      </c>
      <c r="T187" s="33" t="str">
        <f aca="false">IF($A187&lt;&gt;"Seçildi","",IF(OR($O187&lt;&gt;"",$P187="⚠ Çakışma",$Q187="⚠ Çakışma",$R187="⚠ Çakışma",LEFT($S187&amp;" ",1)="⚠"),"⚠ Kontrol Et","✓ Uygun"))</f>
        <v/>
      </c>
    </row>
    <row r="188" customFormat="false" ht="13.5" hidden="false" customHeight="true" outlineLevel="0" collapsed="false">
      <c r="A188" s="33" t="str">
        <f aca="false">'1-Ders Havuzu'!K63</f>
        <v>Seçilmedi</v>
      </c>
      <c r="B188" s="33" t="str">
        <f aca="false">IF($A188="Seçildi",IF('1-Ders Havuzu'!C63="","",'1-Ders Havuzu'!C63),"")</f>
        <v/>
      </c>
      <c r="C188" s="34" t="str">
        <f aca="false">IF($A188="Seçildi",IF('1-Ders Havuzu'!D63="","",'1-Ders Havuzu'!D63),"")</f>
        <v/>
      </c>
      <c r="D188" s="33" t="str">
        <f aca="false">IF($A188="Seçildi",IF('1-Ders Havuzu'!B63="","",'1-Ders Havuzu'!B63),"")</f>
        <v/>
      </c>
      <c r="E188" s="33" t="str">
        <f aca="false">IF($A188="Seçildi",IF('1-Ders Havuzu'!A63="","",'1-Ders Havuzu'!A63),"")</f>
        <v/>
      </c>
      <c r="F188" s="33" t="str">
        <f aca="false">IF($A188="Seçildi",IF('1-Ders Havuzu'!H63="","",'1-Ders Havuzu'!H63),"")</f>
        <v/>
      </c>
      <c r="G188" s="33" t="str">
        <f aca="false">IF($A188="Seçildi",IF('2-Ders-Öğr.Elemanı Eşleştirme'!H63="","",'2-Ders-Öğr.Elemanı Eşleştirme'!H63),"")</f>
        <v/>
      </c>
      <c r="H188" s="35" t="n">
        <v>2</v>
      </c>
      <c r="I188" s="36"/>
      <c r="J188" s="36"/>
      <c r="K188" s="36"/>
      <c r="L188" s="36"/>
      <c r="M188" s="33" t="str">
        <f aca="false">IF($J188="","",MATCH($J188,{"08.00";"09.00";"10.00";"11.00";"12.00";"13.00";"14.00";"15.00";"16.00";"17.00"},0))</f>
        <v/>
      </c>
      <c r="N188" s="33" t="str">
        <f aca="false">IF(OR($M188="",$K188=""),"",$M188+$K188-1)</f>
        <v/>
      </c>
      <c r="O188" s="33" t="str">
        <f aca="false">IF($A188&lt;&gt;"Seçildi","",IF(OR($M188="",$N188=""),"",IF($N188&gt;10,"⚠ Saat Taşıyor","")))</f>
        <v/>
      </c>
      <c r="P188" s="33" t="str">
        <f aca="false">IF($A188&lt;&gt;"Seçildi","",IF(OR($G188="",$I188="",$M188=""),"",IF(SUMPRODUCT(($A$7:$A$456="Seçildi")*($G$7:$G$456=$G188)*($I$7:$I$456=$I188)*(ROW($A$7:$A$456)&lt;&gt;188)*($M$7:$M$456&lt;=$N188)*($N$7:$N$456&gt;=$M188))&gt;0,"⚠ Çakışma","OK")))</f>
        <v/>
      </c>
      <c r="Q188" s="33" t="str">
        <f aca="false">IF($A188&lt;&gt;"Seçildi","",IF(OR($L188="",$I188="",$M188=""),"",IF(SUMPRODUCT(($A$7:$A$456="Seçildi")*($L$7:$L$456=$L188)*($I$7:$I$456=$I188)*(ROW($A$7:$A$456)&lt;&gt;188)*($M$7:$M$456&lt;=$N188)*($N$7:$N$456&gt;=$M188))&gt;0,"⚠ Çakışma","OK")))</f>
        <v/>
      </c>
      <c r="R188" s="33" t="str">
        <f aca="false">IF($A188&lt;&gt;"Seçildi","",IF(OR($D188="",$I188="",$M188=""),"",IF(SUMPRODUCT(($A$7:$A$456="Seçildi")*($D$7:$D$456=$D188)*($I$7:$I$456=$I188)*(ROW($A$7:$A$456)&lt;&gt;188)*($M$7:$M$456&lt;=$N188)*($N$7:$N$456&gt;=$M188))&gt;0,"⚠ Çakışma","OK")))</f>
        <v/>
      </c>
      <c r="S188" s="33"/>
      <c r="T188" s="33" t="str">
        <f aca="false">IF(OR($A188&lt;&gt;"Seçildi",AND($I188="",$J188="")),"",IF(OR($O188&lt;&gt;"",$P188="⚠ Çakışma",$Q188="⚠ Çakışma",$R188="⚠ Çakışma"),"⚠ Kontrol Et","✓ Uygun"))</f>
        <v/>
      </c>
    </row>
    <row r="189" customFormat="false" ht="13.5" hidden="false" customHeight="true" outlineLevel="0" collapsed="false">
      <c r="A189" s="33" t="str">
        <f aca="false">'1-Ders Havuzu'!K63</f>
        <v>Seçilmedi</v>
      </c>
      <c r="B189" s="33" t="str">
        <f aca="false">IF($A189="Seçildi",IF('1-Ders Havuzu'!C63="","",'1-Ders Havuzu'!C63),"")</f>
        <v/>
      </c>
      <c r="C189" s="34" t="str">
        <f aca="false">IF($A189="Seçildi",IF('1-Ders Havuzu'!D63="","",'1-Ders Havuzu'!D63),"")</f>
        <v/>
      </c>
      <c r="D189" s="33" t="str">
        <f aca="false">IF($A189="Seçildi",IF('1-Ders Havuzu'!B63="","",'1-Ders Havuzu'!B63),"")</f>
        <v/>
      </c>
      <c r="E189" s="33" t="str">
        <f aca="false">IF($A189="Seçildi",IF('1-Ders Havuzu'!A63="","",'1-Ders Havuzu'!A63),"")</f>
        <v/>
      </c>
      <c r="F189" s="33" t="str">
        <f aca="false">IF($A189="Seçildi",IF('1-Ders Havuzu'!H63="","",'1-Ders Havuzu'!H63),"")</f>
        <v/>
      </c>
      <c r="G189" s="33" t="str">
        <f aca="false">IF($A189="Seçildi",IF('2-Ders-Öğr.Elemanı Eşleştirme'!H63="","",'2-Ders-Öğr.Elemanı Eşleştirme'!H63),"")</f>
        <v/>
      </c>
      <c r="H189" s="35" t="n">
        <v>3</v>
      </c>
      <c r="I189" s="36"/>
      <c r="J189" s="36"/>
      <c r="K189" s="36"/>
      <c r="L189" s="36"/>
      <c r="M189" s="33" t="str">
        <f aca="false">IF($J189="","",MATCH($J189,{"08.00";"09.00";"10.00";"11.00";"12.00";"13.00";"14.00";"15.00";"16.00";"17.00"},0))</f>
        <v/>
      </c>
      <c r="N189" s="33" t="str">
        <f aca="false">IF(OR($M189="",$K189=""),"",$M189+$K189-1)</f>
        <v/>
      </c>
      <c r="O189" s="33" t="str">
        <f aca="false">IF($A189&lt;&gt;"Seçildi","",IF(OR($M189="",$N189=""),"",IF($N189&gt;10,"⚠ Saat Taşıyor","")))</f>
        <v/>
      </c>
      <c r="P189" s="33" t="str">
        <f aca="false">IF($A189&lt;&gt;"Seçildi","",IF(OR($G189="",$I189="",$M189=""),"",IF(SUMPRODUCT(($A$7:$A$456="Seçildi")*($G$7:$G$456=$G189)*($I$7:$I$456=$I189)*(ROW($A$7:$A$456)&lt;&gt;189)*($M$7:$M$456&lt;=$N189)*($N$7:$N$456&gt;=$M189))&gt;0,"⚠ Çakışma","OK")))</f>
        <v/>
      </c>
      <c r="Q189" s="33" t="str">
        <f aca="false">IF($A189&lt;&gt;"Seçildi","",IF(OR($L189="",$I189="",$M189=""),"",IF(SUMPRODUCT(($A$7:$A$456="Seçildi")*($L$7:$L$456=$L189)*($I$7:$I$456=$I189)*(ROW($A$7:$A$456)&lt;&gt;189)*($M$7:$M$456&lt;=$N189)*($N$7:$N$456&gt;=$M189))&gt;0,"⚠ Çakışma","OK")))</f>
        <v/>
      </c>
      <c r="R189" s="33" t="str">
        <f aca="false">IF($A189&lt;&gt;"Seçildi","",IF(OR($D189="",$I189="",$M189=""),"",IF(SUMPRODUCT(($A$7:$A$456="Seçildi")*($D$7:$D$456=$D189)*($I$7:$I$456=$I189)*(ROW($A$7:$A$456)&lt;&gt;189)*($M$7:$M$456&lt;=$N189)*($N$7:$N$456&gt;=$M189))&gt;0,"⚠ Çakışma","OK")))</f>
        <v/>
      </c>
      <c r="S189" s="33"/>
      <c r="T189" s="33" t="str">
        <f aca="false">IF(OR($A189&lt;&gt;"Seçildi",AND($I189="",$J189="")),"",IF(OR($O189&lt;&gt;"",$P189="⚠ Çakışma",$Q189="⚠ Çakışma",$R189="⚠ Çakışma"),"⚠ Kontrol Et","✓ Uygun"))</f>
        <v/>
      </c>
    </row>
    <row r="190" customFormat="false" ht="13.5" hidden="false" customHeight="true" outlineLevel="0" collapsed="false">
      <c r="A190" s="37" t="str">
        <f aca="false">'1-Ders Havuzu'!K64</f>
        <v>Seçilmedi</v>
      </c>
      <c r="B190" s="37" t="str">
        <f aca="false">IF($A190="Seçildi",IF('1-Ders Havuzu'!C64="","",'1-Ders Havuzu'!C64),"")</f>
        <v/>
      </c>
      <c r="C190" s="38" t="str">
        <f aca="false">IF($A190="Seçildi",IF('1-Ders Havuzu'!D64="","",'1-Ders Havuzu'!D64),"")</f>
        <v/>
      </c>
      <c r="D190" s="37" t="str">
        <f aca="false">IF($A190="Seçildi",IF('1-Ders Havuzu'!B64="","",'1-Ders Havuzu'!B64),"")</f>
        <v/>
      </c>
      <c r="E190" s="37" t="str">
        <f aca="false">IF($A190="Seçildi",IF('1-Ders Havuzu'!A64="","",'1-Ders Havuzu'!A64),"")</f>
        <v/>
      </c>
      <c r="F190" s="37" t="str">
        <f aca="false">IF($A190="Seçildi",IF('1-Ders Havuzu'!H64="","",'1-Ders Havuzu'!H64),"")</f>
        <v/>
      </c>
      <c r="G190" s="37" t="str">
        <f aca="false">IF($A190="Seçildi",IF('2-Ders-Öğr.Elemanı Eşleştirme'!H64="","",'2-Ders-Öğr.Elemanı Eşleştirme'!H64),"")</f>
        <v/>
      </c>
      <c r="H190" s="39" t="n">
        <v>1</v>
      </c>
      <c r="I190" s="36"/>
      <c r="J190" s="36"/>
      <c r="K190" s="36"/>
      <c r="L190" s="36"/>
      <c r="M190" s="37" t="str">
        <f aca="false">IF($J190="","",MATCH($J190,{"08.00";"09.00";"10.00";"11.00";"12.00";"13.00";"14.00";"15.00";"16.00";"17.00"},0))</f>
        <v/>
      </c>
      <c r="N190" s="37" t="str">
        <f aca="false">IF(OR($M190="",$K190=""),"",$M190+$K190-1)</f>
        <v/>
      </c>
      <c r="O190" s="37" t="str">
        <f aca="false">IF($A190&lt;&gt;"Seçildi","",IF(OR($M190="",$N190=""),"",IF($N190&gt;10,"⚠ Saat Taşıyor","")))</f>
        <v/>
      </c>
      <c r="P190" s="37" t="str">
        <f aca="false">IF($A190&lt;&gt;"Seçildi","",IF(OR($G190="",$I190="",$M190=""),"",IF(SUMPRODUCT(($A$7:$A$456="Seçildi")*($G$7:$G$456=$G190)*($I$7:$I$456=$I190)*(ROW($A$7:$A$456)&lt;&gt;190)*($M$7:$M$456&lt;=$N190)*($N$7:$N$456&gt;=$M190))&gt;0,"⚠ Çakışma","OK")))</f>
        <v/>
      </c>
      <c r="Q190" s="37" t="str">
        <f aca="false">IF($A190&lt;&gt;"Seçildi","",IF(OR($L190="",$I190="",$M190=""),"",IF(SUMPRODUCT(($A$7:$A$456="Seçildi")*($L$7:$L$456=$L190)*($I$7:$I$456=$I190)*(ROW($A$7:$A$456)&lt;&gt;190)*($M$7:$M$456&lt;=$N190)*($N$7:$N$456&gt;=$M190))&gt;0,"⚠ Çakışma","OK")))</f>
        <v/>
      </c>
      <c r="R190" s="37" t="str">
        <f aca="false">IF($A190&lt;&gt;"Seçildi","",IF(OR($D190="",$I190="",$M190=""),"",IF(SUMPRODUCT(($A$7:$A$456="Seçildi")*($D$7:$D$456=$D190)*($I$7:$I$456=$I190)*(ROW($A$7:$A$456)&lt;&gt;190)*($M$7:$M$456&lt;=$N190)*($N$7:$N$456&gt;=$M190))&gt;0,"⚠ Çakışma","OK")))</f>
        <v/>
      </c>
      <c r="S190" s="37" t="str">
        <f aca="false">IF($A190&lt;&gt;"Seçildi","",IF(SUM($K190,$K191,$K192)&lt;&gt;$F190,"⚠ Dağılım: "&amp;SUM($K190:$K192)&amp;"/"&amp;$F190&amp;" saat","✓ Tamam"))</f>
        <v/>
      </c>
      <c r="T190" s="37" t="str">
        <f aca="false">IF($A190&lt;&gt;"Seçildi","",IF(OR($O190&lt;&gt;"",$P190="⚠ Çakışma",$Q190="⚠ Çakışma",$R190="⚠ Çakışma",LEFT($S190&amp;" ",1)="⚠"),"⚠ Kontrol Et","✓ Uygun"))</f>
        <v/>
      </c>
    </row>
    <row r="191" customFormat="false" ht="13.5" hidden="false" customHeight="true" outlineLevel="0" collapsed="false">
      <c r="A191" s="37" t="str">
        <f aca="false">'1-Ders Havuzu'!K64</f>
        <v>Seçilmedi</v>
      </c>
      <c r="B191" s="37" t="str">
        <f aca="false">IF($A191="Seçildi",IF('1-Ders Havuzu'!C64="","",'1-Ders Havuzu'!C64),"")</f>
        <v/>
      </c>
      <c r="C191" s="38" t="str">
        <f aca="false">IF($A191="Seçildi",IF('1-Ders Havuzu'!D64="","",'1-Ders Havuzu'!D64),"")</f>
        <v/>
      </c>
      <c r="D191" s="37" t="str">
        <f aca="false">IF($A191="Seçildi",IF('1-Ders Havuzu'!B64="","",'1-Ders Havuzu'!B64),"")</f>
        <v/>
      </c>
      <c r="E191" s="37" t="str">
        <f aca="false">IF($A191="Seçildi",IF('1-Ders Havuzu'!A64="","",'1-Ders Havuzu'!A64),"")</f>
        <v/>
      </c>
      <c r="F191" s="37" t="str">
        <f aca="false">IF($A191="Seçildi",IF('1-Ders Havuzu'!H64="","",'1-Ders Havuzu'!H64),"")</f>
        <v/>
      </c>
      <c r="G191" s="37" t="str">
        <f aca="false">IF($A191="Seçildi",IF('2-Ders-Öğr.Elemanı Eşleştirme'!H64="","",'2-Ders-Öğr.Elemanı Eşleştirme'!H64),"")</f>
        <v/>
      </c>
      <c r="H191" s="39" t="n">
        <v>2</v>
      </c>
      <c r="I191" s="36"/>
      <c r="J191" s="36"/>
      <c r="K191" s="36"/>
      <c r="L191" s="36"/>
      <c r="M191" s="37" t="str">
        <f aca="false">IF($J191="","",MATCH($J191,{"08.00";"09.00";"10.00";"11.00";"12.00";"13.00";"14.00";"15.00";"16.00";"17.00"},0))</f>
        <v/>
      </c>
      <c r="N191" s="37" t="str">
        <f aca="false">IF(OR($M191="",$K191=""),"",$M191+$K191-1)</f>
        <v/>
      </c>
      <c r="O191" s="37" t="str">
        <f aca="false">IF($A191&lt;&gt;"Seçildi","",IF(OR($M191="",$N191=""),"",IF($N191&gt;10,"⚠ Saat Taşıyor","")))</f>
        <v/>
      </c>
      <c r="P191" s="37" t="str">
        <f aca="false">IF($A191&lt;&gt;"Seçildi","",IF(OR($G191="",$I191="",$M191=""),"",IF(SUMPRODUCT(($A$7:$A$456="Seçildi")*($G$7:$G$456=$G191)*($I$7:$I$456=$I191)*(ROW($A$7:$A$456)&lt;&gt;191)*($M$7:$M$456&lt;=$N191)*($N$7:$N$456&gt;=$M191))&gt;0,"⚠ Çakışma","OK")))</f>
        <v/>
      </c>
      <c r="Q191" s="37" t="str">
        <f aca="false">IF($A191&lt;&gt;"Seçildi","",IF(OR($L191="",$I191="",$M191=""),"",IF(SUMPRODUCT(($A$7:$A$456="Seçildi")*($L$7:$L$456=$L191)*($I$7:$I$456=$I191)*(ROW($A$7:$A$456)&lt;&gt;191)*($M$7:$M$456&lt;=$N191)*($N$7:$N$456&gt;=$M191))&gt;0,"⚠ Çakışma","OK")))</f>
        <v/>
      </c>
      <c r="R191" s="37" t="str">
        <f aca="false">IF($A191&lt;&gt;"Seçildi","",IF(OR($D191="",$I191="",$M191=""),"",IF(SUMPRODUCT(($A$7:$A$456="Seçildi")*($D$7:$D$456=$D191)*($I$7:$I$456=$I191)*(ROW($A$7:$A$456)&lt;&gt;191)*($M$7:$M$456&lt;=$N191)*($N$7:$N$456&gt;=$M191))&gt;0,"⚠ Çakışma","OK")))</f>
        <v/>
      </c>
      <c r="S191" s="37"/>
      <c r="T191" s="37" t="str">
        <f aca="false">IF(OR($A191&lt;&gt;"Seçildi",AND($I191="",$J191="")),"",IF(OR($O191&lt;&gt;"",$P191="⚠ Çakışma",$Q191="⚠ Çakışma",$R191="⚠ Çakışma"),"⚠ Kontrol Et","✓ Uygun"))</f>
        <v/>
      </c>
    </row>
    <row r="192" customFormat="false" ht="13.5" hidden="false" customHeight="true" outlineLevel="0" collapsed="false">
      <c r="A192" s="37" t="str">
        <f aca="false">'1-Ders Havuzu'!K64</f>
        <v>Seçilmedi</v>
      </c>
      <c r="B192" s="37" t="str">
        <f aca="false">IF($A192="Seçildi",IF('1-Ders Havuzu'!C64="","",'1-Ders Havuzu'!C64),"")</f>
        <v/>
      </c>
      <c r="C192" s="38" t="str">
        <f aca="false">IF($A192="Seçildi",IF('1-Ders Havuzu'!D64="","",'1-Ders Havuzu'!D64),"")</f>
        <v/>
      </c>
      <c r="D192" s="37" t="str">
        <f aca="false">IF($A192="Seçildi",IF('1-Ders Havuzu'!B64="","",'1-Ders Havuzu'!B64),"")</f>
        <v/>
      </c>
      <c r="E192" s="37" t="str">
        <f aca="false">IF($A192="Seçildi",IF('1-Ders Havuzu'!A64="","",'1-Ders Havuzu'!A64),"")</f>
        <v/>
      </c>
      <c r="F192" s="37" t="str">
        <f aca="false">IF($A192="Seçildi",IF('1-Ders Havuzu'!H64="","",'1-Ders Havuzu'!H64),"")</f>
        <v/>
      </c>
      <c r="G192" s="37" t="str">
        <f aca="false">IF($A192="Seçildi",IF('2-Ders-Öğr.Elemanı Eşleştirme'!H64="","",'2-Ders-Öğr.Elemanı Eşleştirme'!H64),"")</f>
        <v/>
      </c>
      <c r="H192" s="39" t="n">
        <v>3</v>
      </c>
      <c r="I192" s="36"/>
      <c r="J192" s="36"/>
      <c r="K192" s="36"/>
      <c r="L192" s="36"/>
      <c r="M192" s="37" t="str">
        <f aca="false">IF($J192="","",MATCH($J192,{"08.00";"09.00";"10.00";"11.00";"12.00";"13.00";"14.00";"15.00";"16.00";"17.00"},0))</f>
        <v/>
      </c>
      <c r="N192" s="37" t="str">
        <f aca="false">IF(OR($M192="",$K192=""),"",$M192+$K192-1)</f>
        <v/>
      </c>
      <c r="O192" s="37" t="str">
        <f aca="false">IF($A192&lt;&gt;"Seçildi","",IF(OR($M192="",$N192=""),"",IF($N192&gt;10,"⚠ Saat Taşıyor","")))</f>
        <v/>
      </c>
      <c r="P192" s="37" t="str">
        <f aca="false">IF($A192&lt;&gt;"Seçildi","",IF(OR($G192="",$I192="",$M192=""),"",IF(SUMPRODUCT(($A$7:$A$456="Seçildi")*($G$7:$G$456=$G192)*($I$7:$I$456=$I192)*(ROW($A$7:$A$456)&lt;&gt;192)*($M$7:$M$456&lt;=$N192)*($N$7:$N$456&gt;=$M192))&gt;0,"⚠ Çakışma","OK")))</f>
        <v/>
      </c>
      <c r="Q192" s="37" t="str">
        <f aca="false">IF($A192&lt;&gt;"Seçildi","",IF(OR($L192="",$I192="",$M192=""),"",IF(SUMPRODUCT(($A$7:$A$456="Seçildi")*($L$7:$L$456=$L192)*($I$7:$I$456=$I192)*(ROW($A$7:$A$456)&lt;&gt;192)*($M$7:$M$456&lt;=$N192)*($N$7:$N$456&gt;=$M192))&gt;0,"⚠ Çakışma","OK")))</f>
        <v/>
      </c>
      <c r="R192" s="37" t="str">
        <f aca="false">IF($A192&lt;&gt;"Seçildi","",IF(OR($D192="",$I192="",$M192=""),"",IF(SUMPRODUCT(($A$7:$A$456="Seçildi")*($D$7:$D$456=$D192)*($I$7:$I$456=$I192)*(ROW($A$7:$A$456)&lt;&gt;192)*($M$7:$M$456&lt;=$N192)*($N$7:$N$456&gt;=$M192))&gt;0,"⚠ Çakışma","OK")))</f>
        <v/>
      </c>
      <c r="S192" s="37"/>
      <c r="T192" s="37" t="str">
        <f aca="false">IF(OR($A192&lt;&gt;"Seçildi",AND($I192="",$J192="")),"",IF(OR($O192&lt;&gt;"",$P192="⚠ Çakışma",$Q192="⚠ Çakışma",$R192="⚠ Çakışma"),"⚠ Kontrol Et","✓ Uygun"))</f>
        <v/>
      </c>
    </row>
    <row r="193" customFormat="false" ht="13.5" hidden="false" customHeight="true" outlineLevel="0" collapsed="false">
      <c r="A193" s="33" t="str">
        <f aca="false">'1-Ders Havuzu'!K65</f>
        <v>Seçilmedi</v>
      </c>
      <c r="B193" s="33" t="str">
        <f aca="false">IF($A193="Seçildi",IF('1-Ders Havuzu'!C65="","",'1-Ders Havuzu'!C65),"")</f>
        <v/>
      </c>
      <c r="C193" s="34" t="str">
        <f aca="false">IF($A193="Seçildi",IF('1-Ders Havuzu'!D65="","",'1-Ders Havuzu'!D65),"")</f>
        <v/>
      </c>
      <c r="D193" s="33" t="str">
        <f aca="false">IF($A193="Seçildi",IF('1-Ders Havuzu'!B65="","",'1-Ders Havuzu'!B65),"")</f>
        <v/>
      </c>
      <c r="E193" s="33" t="str">
        <f aca="false">IF($A193="Seçildi",IF('1-Ders Havuzu'!A65="","",'1-Ders Havuzu'!A65),"")</f>
        <v/>
      </c>
      <c r="F193" s="33" t="str">
        <f aca="false">IF($A193="Seçildi",IF('1-Ders Havuzu'!H65="","",'1-Ders Havuzu'!H65),"")</f>
        <v/>
      </c>
      <c r="G193" s="33" t="str">
        <f aca="false">IF($A193="Seçildi",IF('2-Ders-Öğr.Elemanı Eşleştirme'!H65="","",'2-Ders-Öğr.Elemanı Eşleştirme'!H65),"")</f>
        <v/>
      </c>
      <c r="H193" s="35" t="n">
        <v>1</v>
      </c>
      <c r="I193" s="36"/>
      <c r="J193" s="36"/>
      <c r="K193" s="36"/>
      <c r="L193" s="36"/>
      <c r="M193" s="33" t="str">
        <f aca="false">IF($J193="","",MATCH($J193,{"08.00";"09.00";"10.00";"11.00";"12.00";"13.00";"14.00";"15.00";"16.00";"17.00"},0))</f>
        <v/>
      </c>
      <c r="N193" s="33" t="str">
        <f aca="false">IF(OR($M193="",$K193=""),"",$M193+$K193-1)</f>
        <v/>
      </c>
      <c r="O193" s="33" t="str">
        <f aca="false">IF($A193&lt;&gt;"Seçildi","",IF(OR($M193="",$N193=""),"",IF($N193&gt;10,"⚠ Saat Taşıyor","")))</f>
        <v/>
      </c>
      <c r="P193" s="33" t="str">
        <f aca="false">IF($A193&lt;&gt;"Seçildi","",IF(OR($G193="",$I193="",$M193=""),"",IF(SUMPRODUCT(($A$7:$A$456="Seçildi")*($G$7:$G$456=$G193)*($I$7:$I$456=$I193)*(ROW($A$7:$A$456)&lt;&gt;193)*($M$7:$M$456&lt;=$N193)*($N$7:$N$456&gt;=$M193))&gt;0,"⚠ Çakışma","OK")))</f>
        <v/>
      </c>
      <c r="Q193" s="33" t="str">
        <f aca="false">IF($A193&lt;&gt;"Seçildi","",IF(OR($L193="",$I193="",$M193=""),"",IF(SUMPRODUCT(($A$7:$A$456="Seçildi")*($L$7:$L$456=$L193)*($I$7:$I$456=$I193)*(ROW($A$7:$A$456)&lt;&gt;193)*($M$7:$M$456&lt;=$N193)*($N$7:$N$456&gt;=$M193))&gt;0,"⚠ Çakışma","OK")))</f>
        <v/>
      </c>
      <c r="R193" s="33" t="str">
        <f aca="false">IF($A193&lt;&gt;"Seçildi","",IF(OR($D193="",$I193="",$M193=""),"",IF(SUMPRODUCT(($A$7:$A$456="Seçildi")*($D$7:$D$456=$D193)*($I$7:$I$456=$I193)*(ROW($A$7:$A$456)&lt;&gt;193)*($M$7:$M$456&lt;=$N193)*($N$7:$N$456&gt;=$M193))&gt;0,"⚠ Çakışma","OK")))</f>
        <v/>
      </c>
      <c r="S193" s="33" t="str">
        <f aca="false">IF($A193&lt;&gt;"Seçildi","",IF(SUM($K193,$K194,$K195)&lt;&gt;$F193,"⚠ Dağılım: "&amp;SUM($K193:$K195)&amp;"/"&amp;$F193&amp;" saat","✓ Tamam"))</f>
        <v/>
      </c>
      <c r="T193" s="33" t="str">
        <f aca="false">IF($A193&lt;&gt;"Seçildi","",IF(OR($O193&lt;&gt;"",$P193="⚠ Çakışma",$Q193="⚠ Çakışma",$R193="⚠ Çakışma",LEFT($S193&amp;" ",1)="⚠"),"⚠ Kontrol Et","✓ Uygun"))</f>
        <v/>
      </c>
    </row>
    <row r="194" customFormat="false" ht="13.5" hidden="false" customHeight="true" outlineLevel="0" collapsed="false">
      <c r="A194" s="33" t="str">
        <f aca="false">'1-Ders Havuzu'!K65</f>
        <v>Seçilmedi</v>
      </c>
      <c r="B194" s="33" t="str">
        <f aca="false">IF($A194="Seçildi",IF('1-Ders Havuzu'!C65="","",'1-Ders Havuzu'!C65),"")</f>
        <v/>
      </c>
      <c r="C194" s="34" t="str">
        <f aca="false">IF($A194="Seçildi",IF('1-Ders Havuzu'!D65="","",'1-Ders Havuzu'!D65),"")</f>
        <v/>
      </c>
      <c r="D194" s="33" t="str">
        <f aca="false">IF($A194="Seçildi",IF('1-Ders Havuzu'!B65="","",'1-Ders Havuzu'!B65),"")</f>
        <v/>
      </c>
      <c r="E194" s="33" t="str">
        <f aca="false">IF($A194="Seçildi",IF('1-Ders Havuzu'!A65="","",'1-Ders Havuzu'!A65),"")</f>
        <v/>
      </c>
      <c r="F194" s="33" t="str">
        <f aca="false">IF($A194="Seçildi",IF('1-Ders Havuzu'!H65="","",'1-Ders Havuzu'!H65),"")</f>
        <v/>
      </c>
      <c r="G194" s="33" t="str">
        <f aca="false">IF($A194="Seçildi",IF('2-Ders-Öğr.Elemanı Eşleştirme'!H65="","",'2-Ders-Öğr.Elemanı Eşleştirme'!H65),"")</f>
        <v/>
      </c>
      <c r="H194" s="35" t="n">
        <v>2</v>
      </c>
      <c r="I194" s="36"/>
      <c r="J194" s="36"/>
      <c r="K194" s="36"/>
      <c r="L194" s="36"/>
      <c r="M194" s="33" t="str">
        <f aca="false">IF($J194="","",MATCH($J194,{"08.00";"09.00";"10.00";"11.00";"12.00";"13.00";"14.00";"15.00";"16.00";"17.00"},0))</f>
        <v/>
      </c>
      <c r="N194" s="33" t="str">
        <f aca="false">IF(OR($M194="",$K194=""),"",$M194+$K194-1)</f>
        <v/>
      </c>
      <c r="O194" s="33" t="str">
        <f aca="false">IF($A194&lt;&gt;"Seçildi","",IF(OR($M194="",$N194=""),"",IF($N194&gt;10,"⚠ Saat Taşıyor","")))</f>
        <v/>
      </c>
      <c r="P194" s="33" t="str">
        <f aca="false">IF($A194&lt;&gt;"Seçildi","",IF(OR($G194="",$I194="",$M194=""),"",IF(SUMPRODUCT(($A$7:$A$456="Seçildi")*($G$7:$G$456=$G194)*($I$7:$I$456=$I194)*(ROW($A$7:$A$456)&lt;&gt;194)*($M$7:$M$456&lt;=$N194)*($N$7:$N$456&gt;=$M194))&gt;0,"⚠ Çakışma","OK")))</f>
        <v/>
      </c>
      <c r="Q194" s="33" t="str">
        <f aca="false">IF($A194&lt;&gt;"Seçildi","",IF(OR($L194="",$I194="",$M194=""),"",IF(SUMPRODUCT(($A$7:$A$456="Seçildi")*($L$7:$L$456=$L194)*($I$7:$I$456=$I194)*(ROW($A$7:$A$456)&lt;&gt;194)*($M$7:$M$456&lt;=$N194)*($N$7:$N$456&gt;=$M194))&gt;0,"⚠ Çakışma","OK")))</f>
        <v/>
      </c>
      <c r="R194" s="33" t="str">
        <f aca="false">IF($A194&lt;&gt;"Seçildi","",IF(OR($D194="",$I194="",$M194=""),"",IF(SUMPRODUCT(($A$7:$A$456="Seçildi")*($D$7:$D$456=$D194)*($I$7:$I$456=$I194)*(ROW($A$7:$A$456)&lt;&gt;194)*($M$7:$M$456&lt;=$N194)*($N$7:$N$456&gt;=$M194))&gt;0,"⚠ Çakışma","OK")))</f>
        <v/>
      </c>
      <c r="S194" s="33"/>
      <c r="T194" s="33" t="str">
        <f aca="false">IF(OR($A194&lt;&gt;"Seçildi",AND($I194="",$J194="")),"",IF(OR($O194&lt;&gt;"",$P194="⚠ Çakışma",$Q194="⚠ Çakışma",$R194="⚠ Çakışma"),"⚠ Kontrol Et","✓ Uygun"))</f>
        <v/>
      </c>
    </row>
    <row r="195" customFormat="false" ht="13.5" hidden="false" customHeight="true" outlineLevel="0" collapsed="false">
      <c r="A195" s="33" t="str">
        <f aca="false">'1-Ders Havuzu'!K65</f>
        <v>Seçilmedi</v>
      </c>
      <c r="B195" s="33" t="str">
        <f aca="false">IF($A195="Seçildi",IF('1-Ders Havuzu'!C65="","",'1-Ders Havuzu'!C65),"")</f>
        <v/>
      </c>
      <c r="C195" s="34" t="str">
        <f aca="false">IF($A195="Seçildi",IF('1-Ders Havuzu'!D65="","",'1-Ders Havuzu'!D65),"")</f>
        <v/>
      </c>
      <c r="D195" s="33" t="str">
        <f aca="false">IF($A195="Seçildi",IF('1-Ders Havuzu'!B65="","",'1-Ders Havuzu'!B65),"")</f>
        <v/>
      </c>
      <c r="E195" s="33" t="str">
        <f aca="false">IF($A195="Seçildi",IF('1-Ders Havuzu'!A65="","",'1-Ders Havuzu'!A65),"")</f>
        <v/>
      </c>
      <c r="F195" s="33" t="str">
        <f aca="false">IF($A195="Seçildi",IF('1-Ders Havuzu'!H65="","",'1-Ders Havuzu'!H65),"")</f>
        <v/>
      </c>
      <c r="G195" s="33" t="str">
        <f aca="false">IF($A195="Seçildi",IF('2-Ders-Öğr.Elemanı Eşleştirme'!H65="","",'2-Ders-Öğr.Elemanı Eşleştirme'!H65),"")</f>
        <v/>
      </c>
      <c r="H195" s="35" t="n">
        <v>3</v>
      </c>
      <c r="I195" s="36"/>
      <c r="J195" s="36"/>
      <c r="K195" s="36"/>
      <c r="L195" s="36"/>
      <c r="M195" s="33" t="str">
        <f aca="false">IF($J195="","",MATCH($J195,{"08.00";"09.00";"10.00";"11.00";"12.00";"13.00";"14.00";"15.00";"16.00";"17.00"},0))</f>
        <v/>
      </c>
      <c r="N195" s="33" t="str">
        <f aca="false">IF(OR($M195="",$K195=""),"",$M195+$K195-1)</f>
        <v/>
      </c>
      <c r="O195" s="33" t="str">
        <f aca="false">IF($A195&lt;&gt;"Seçildi","",IF(OR($M195="",$N195=""),"",IF($N195&gt;10,"⚠ Saat Taşıyor","")))</f>
        <v/>
      </c>
      <c r="P195" s="33" t="str">
        <f aca="false">IF($A195&lt;&gt;"Seçildi","",IF(OR($G195="",$I195="",$M195=""),"",IF(SUMPRODUCT(($A$7:$A$456="Seçildi")*($G$7:$G$456=$G195)*($I$7:$I$456=$I195)*(ROW($A$7:$A$456)&lt;&gt;195)*($M$7:$M$456&lt;=$N195)*($N$7:$N$456&gt;=$M195))&gt;0,"⚠ Çakışma","OK")))</f>
        <v/>
      </c>
      <c r="Q195" s="33" t="str">
        <f aca="false">IF($A195&lt;&gt;"Seçildi","",IF(OR($L195="",$I195="",$M195=""),"",IF(SUMPRODUCT(($A$7:$A$456="Seçildi")*($L$7:$L$456=$L195)*($I$7:$I$456=$I195)*(ROW($A$7:$A$456)&lt;&gt;195)*($M$7:$M$456&lt;=$N195)*($N$7:$N$456&gt;=$M195))&gt;0,"⚠ Çakışma","OK")))</f>
        <v/>
      </c>
      <c r="R195" s="33" t="str">
        <f aca="false">IF($A195&lt;&gt;"Seçildi","",IF(OR($D195="",$I195="",$M195=""),"",IF(SUMPRODUCT(($A$7:$A$456="Seçildi")*($D$7:$D$456=$D195)*($I$7:$I$456=$I195)*(ROW($A$7:$A$456)&lt;&gt;195)*($M$7:$M$456&lt;=$N195)*($N$7:$N$456&gt;=$M195))&gt;0,"⚠ Çakışma","OK")))</f>
        <v/>
      </c>
      <c r="S195" s="33"/>
      <c r="T195" s="33" t="str">
        <f aca="false">IF(OR($A195&lt;&gt;"Seçildi",AND($I195="",$J195="")),"",IF(OR($O195&lt;&gt;"",$P195="⚠ Çakışma",$Q195="⚠ Çakışma",$R195="⚠ Çakışma"),"⚠ Kontrol Et","✓ Uygun"))</f>
        <v/>
      </c>
    </row>
    <row r="196" customFormat="false" ht="13.5" hidden="false" customHeight="true" outlineLevel="0" collapsed="false">
      <c r="A196" s="37" t="str">
        <f aca="false">'1-Ders Havuzu'!K66</f>
        <v>Seçilmedi</v>
      </c>
      <c r="B196" s="37" t="str">
        <f aca="false">IF($A196="Seçildi",IF('1-Ders Havuzu'!C66="","",'1-Ders Havuzu'!C66),"")</f>
        <v/>
      </c>
      <c r="C196" s="38" t="str">
        <f aca="false">IF($A196="Seçildi",IF('1-Ders Havuzu'!D66="","",'1-Ders Havuzu'!D66),"")</f>
        <v/>
      </c>
      <c r="D196" s="37" t="str">
        <f aca="false">IF($A196="Seçildi",IF('1-Ders Havuzu'!B66="","",'1-Ders Havuzu'!B66),"")</f>
        <v/>
      </c>
      <c r="E196" s="37" t="str">
        <f aca="false">IF($A196="Seçildi",IF('1-Ders Havuzu'!A66="","",'1-Ders Havuzu'!A66),"")</f>
        <v/>
      </c>
      <c r="F196" s="37" t="str">
        <f aca="false">IF($A196="Seçildi",IF('1-Ders Havuzu'!H66="","",'1-Ders Havuzu'!H66),"")</f>
        <v/>
      </c>
      <c r="G196" s="37" t="str">
        <f aca="false">IF($A196="Seçildi",IF('2-Ders-Öğr.Elemanı Eşleştirme'!H66="","",'2-Ders-Öğr.Elemanı Eşleştirme'!H66),"")</f>
        <v/>
      </c>
      <c r="H196" s="39" t="n">
        <v>1</v>
      </c>
      <c r="I196" s="36"/>
      <c r="J196" s="36"/>
      <c r="K196" s="36"/>
      <c r="L196" s="36"/>
      <c r="M196" s="37" t="str">
        <f aca="false">IF($J196="","",MATCH($J196,{"08.00";"09.00";"10.00";"11.00";"12.00";"13.00";"14.00";"15.00";"16.00";"17.00"},0))</f>
        <v/>
      </c>
      <c r="N196" s="37" t="str">
        <f aca="false">IF(OR($M196="",$K196=""),"",$M196+$K196-1)</f>
        <v/>
      </c>
      <c r="O196" s="37" t="str">
        <f aca="false">IF($A196&lt;&gt;"Seçildi","",IF(OR($M196="",$N196=""),"",IF($N196&gt;10,"⚠ Saat Taşıyor","")))</f>
        <v/>
      </c>
      <c r="P196" s="37" t="str">
        <f aca="false">IF($A196&lt;&gt;"Seçildi","",IF(OR($G196="",$I196="",$M196=""),"",IF(SUMPRODUCT(($A$7:$A$456="Seçildi")*($G$7:$G$456=$G196)*($I$7:$I$456=$I196)*(ROW($A$7:$A$456)&lt;&gt;196)*($M$7:$M$456&lt;=$N196)*($N$7:$N$456&gt;=$M196))&gt;0,"⚠ Çakışma","OK")))</f>
        <v/>
      </c>
      <c r="Q196" s="37" t="str">
        <f aca="false">IF($A196&lt;&gt;"Seçildi","",IF(OR($L196="",$I196="",$M196=""),"",IF(SUMPRODUCT(($A$7:$A$456="Seçildi")*($L$7:$L$456=$L196)*($I$7:$I$456=$I196)*(ROW($A$7:$A$456)&lt;&gt;196)*($M$7:$M$456&lt;=$N196)*($N$7:$N$456&gt;=$M196))&gt;0,"⚠ Çakışma","OK")))</f>
        <v/>
      </c>
      <c r="R196" s="37" t="str">
        <f aca="false">IF($A196&lt;&gt;"Seçildi","",IF(OR($D196="",$I196="",$M196=""),"",IF(SUMPRODUCT(($A$7:$A$456="Seçildi")*($D$7:$D$456=$D196)*($I$7:$I$456=$I196)*(ROW($A$7:$A$456)&lt;&gt;196)*($M$7:$M$456&lt;=$N196)*($N$7:$N$456&gt;=$M196))&gt;0,"⚠ Çakışma","OK")))</f>
        <v/>
      </c>
      <c r="S196" s="37" t="str">
        <f aca="false">IF($A196&lt;&gt;"Seçildi","",IF(SUM($K196,$K197,$K198)&lt;&gt;$F196,"⚠ Dağılım: "&amp;SUM($K196:$K198)&amp;"/"&amp;$F196&amp;" saat","✓ Tamam"))</f>
        <v/>
      </c>
      <c r="T196" s="37" t="str">
        <f aca="false">IF($A196&lt;&gt;"Seçildi","",IF(OR($O196&lt;&gt;"",$P196="⚠ Çakışma",$Q196="⚠ Çakışma",$R196="⚠ Çakışma",LEFT($S196&amp;" ",1)="⚠"),"⚠ Kontrol Et","✓ Uygun"))</f>
        <v/>
      </c>
    </row>
    <row r="197" customFormat="false" ht="13.5" hidden="false" customHeight="true" outlineLevel="0" collapsed="false">
      <c r="A197" s="37" t="str">
        <f aca="false">'1-Ders Havuzu'!K66</f>
        <v>Seçilmedi</v>
      </c>
      <c r="B197" s="37" t="str">
        <f aca="false">IF($A197="Seçildi",IF('1-Ders Havuzu'!C66="","",'1-Ders Havuzu'!C66),"")</f>
        <v/>
      </c>
      <c r="C197" s="38" t="str">
        <f aca="false">IF($A197="Seçildi",IF('1-Ders Havuzu'!D66="","",'1-Ders Havuzu'!D66),"")</f>
        <v/>
      </c>
      <c r="D197" s="37" t="str">
        <f aca="false">IF($A197="Seçildi",IF('1-Ders Havuzu'!B66="","",'1-Ders Havuzu'!B66),"")</f>
        <v/>
      </c>
      <c r="E197" s="37" t="str">
        <f aca="false">IF($A197="Seçildi",IF('1-Ders Havuzu'!A66="","",'1-Ders Havuzu'!A66),"")</f>
        <v/>
      </c>
      <c r="F197" s="37" t="str">
        <f aca="false">IF($A197="Seçildi",IF('1-Ders Havuzu'!H66="","",'1-Ders Havuzu'!H66),"")</f>
        <v/>
      </c>
      <c r="G197" s="37" t="str">
        <f aca="false">IF($A197="Seçildi",IF('2-Ders-Öğr.Elemanı Eşleştirme'!H66="","",'2-Ders-Öğr.Elemanı Eşleştirme'!H66),"")</f>
        <v/>
      </c>
      <c r="H197" s="39" t="n">
        <v>2</v>
      </c>
      <c r="I197" s="36"/>
      <c r="J197" s="36"/>
      <c r="K197" s="36"/>
      <c r="L197" s="36"/>
      <c r="M197" s="37" t="str">
        <f aca="false">IF($J197="","",MATCH($J197,{"08.00";"09.00";"10.00";"11.00";"12.00";"13.00";"14.00";"15.00";"16.00";"17.00"},0))</f>
        <v/>
      </c>
      <c r="N197" s="37" t="str">
        <f aca="false">IF(OR($M197="",$K197=""),"",$M197+$K197-1)</f>
        <v/>
      </c>
      <c r="O197" s="37" t="str">
        <f aca="false">IF($A197&lt;&gt;"Seçildi","",IF(OR($M197="",$N197=""),"",IF($N197&gt;10,"⚠ Saat Taşıyor","")))</f>
        <v/>
      </c>
      <c r="P197" s="37" t="str">
        <f aca="false">IF($A197&lt;&gt;"Seçildi","",IF(OR($G197="",$I197="",$M197=""),"",IF(SUMPRODUCT(($A$7:$A$456="Seçildi")*($G$7:$G$456=$G197)*($I$7:$I$456=$I197)*(ROW($A$7:$A$456)&lt;&gt;197)*($M$7:$M$456&lt;=$N197)*($N$7:$N$456&gt;=$M197))&gt;0,"⚠ Çakışma","OK")))</f>
        <v/>
      </c>
      <c r="Q197" s="37" t="str">
        <f aca="false">IF($A197&lt;&gt;"Seçildi","",IF(OR($L197="",$I197="",$M197=""),"",IF(SUMPRODUCT(($A$7:$A$456="Seçildi")*($L$7:$L$456=$L197)*($I$7:$I$456=$I197)*(ROW($A$7:$A$456)&lt;&gt;197)*($M$7:$M$456&lt;=$N197)*($N$7:$N$456&gt;=$M197))&gt;0,"⚠ Çakışma","OK")))</f>
        <v/>
      </c>
      <c r="R197" s="37" t="str">
        <f aca="false">IF($A197&lt;&gt;"Seçildi","",IF(OR($D197="",$I197="",$M197=""),"",IF(SUMPRODUCT(($A$7:$A$456="Seçildi")*($D$7:$D$456=$D197)*($I$7:$I$456=$I197)*(ROW($A$7:$A$456)&lt;&gt;197)*($M$7:$M$456&lt;=$N197)*($N$7:$N$456&gt;=$M197))&gt;0,"⚠ Çakışma","OK")))</f>
        <v/>
      </c>
      <c r="S197" s="37"/>
      <c r="T197" s="37" t="str">
        <f aca="false">IF(OR($A197&lt;&gt;"Seçildi",AND($I197="",$J197="")),"",IF(OR($O197&lt;&gt;"",$P197="⚠ Çakışma",$Q197="⚠ Çakışma",$R197="⚠ Çakışma"),"⚠ Kontrol Et","✓ Uygun"))</f>
        <v/>
      </c>
    </row>
    <row r="198" customFormat="false" ht="13.5" hidden="false" customHeight="true" outlineLevel="0" collapsed="false">
      <c r="A198" s="37" t="str">
        <f aca="false">'1-Ders Havuzu'!K66</f>
        <v>Seçilmedi</v>
      </c>
      <c r="B198" s="37" t="str">
        <f aca="false">IF($A198="Seçildi",IF('1-Ders Havuzu'!C66="","",'1-Ders Havuzu'!C66),"")</f>
        <v/>
      </c>
      <c r="C198" s="38" t="str">
        <f aca="false">IF($A198="Seçildi",IF('1-Ders Havuzu'!D66="","",'1-Ders Havuzu'!D66),"")</f>
        <v/>
      </c>
      <c r="D198" s="37" t="str">
        <f aca="false">IF($A198="Seçildi",IF('1-Ders Havuzu'!B66="","",'1-Ders Havuzu'!B66),"")</f>
        <v/>
      </c>
      <c r="E198" s="37" t="str">
        <f aca="false">IF($A198="Seçildi",IF('1-Ders Havuzu'!A66="","",'1-Ders Havuzu'!A66),"")</f>
        <v/>
      </c>
      <c r="F198" s="37" t="str">
        <f aca="false">IF($A198="Seçildi",IF('1-Ders Havuzu'!H66="","",'1-Ders Havuzu'!H66),"")</f>
        <v/>
      </c>
      <c r="G198" s="37" t="str">
        <f aca="false">IF($A198="Seçildi",IF('2-Ders-Öğr.Elemanı Eşleştirme'!H66="","",'2-Ders-Öğr.Elemanı Eşleştirme'!H66),"")</f>
        <v/>
      </c>
      <c r="H198" s="39" t="n">
        <v>3</v>
      </c>
      <c r="I198" s="36"/>
      <c r="J198" s="36"/>
      <c r="K198" s="36"/>
      <c r="L198" s="36"/>
      <c r="M198" s="37" t="str">
        <f aca="false">IF($J198="","",MATCH($J198,{"08.00";"09.00";"10.00";"11.00";"12.00";"13.00";"14.00";"15.00";"16.00";"17.00"},0))</f>
        <v/>
      </c>
      <c r="N198" s="37" t="str">
        <f aca="false">IF(OR($M198="",$K198=""),"",$M198+$K198-1)</f>
        <v/>
      </c>
      <c r="O198" s="37" t="str">
        <f aca="false">IF($A198&lt;&gt;"Seçildi","",IF(OR($M198="",$N198=""),"",IF($N198&gt;10,"⚠ Saat Taşıyor","")))</f>
        <v/>
      </c>
      <c r="P198" s="37" t="str">
        <f aca="false">IF($A198&lt;&gt;"Seçildi","",IF(OR($G198="",$I198="",$M198=""),"",IF(SUMPRODUCT(($A$7:$A$456="Seçildi")*($G$7:$G$456=$G198)*($I$7:$I$456=$I198)*(ROW($A$7:$A$456)&lt;&gt;198)*($M$7:$M$456&lt;=$N198)*($N$7:$N$456&gt;=$M198))&gt;0,"⚠ Çakışma","OK")))</f>
        <v/>
      </c>
      <c r="Q198" s="37" t="str">
        <f aca="false">IF($A198&lt;&gt;"Seçildi","",IF(OR($L198="",$I198="",$M198=""),"",IF(SUMPRODUCT(($A$7:$A$456="Seçildi")*($L$7:$L$456=$L198)*($I$7:$I$456=$I198)*(ROW($A$7:$A$456)&lt;&gt;198)*($M$7:$M$456&lt;=$N198)*($N$7:$N$456&gt;=$M198))&gt;0,"⚠ Çakışma","OK")))</f>
        <v/>
      </c>
      <c r="R198" s="37" t="str">
        <f aca="false">IF($A198&lt;&gt;"Seçildi","",IF(OR($D198="",$I198="",$M198=""),"",IF(SUMPRODUCT(($A$7:$A$456="Seçildi")*($D$7:$D$456=$D198)*($I$7:$I$456=$I198)*(ROW($A$7:$A$456)&lt;&gt;198)*($M$7:$M$456&lt;=$N198)*($N$7:$N$456&gt;=$M198))&gt;0,"⚠ Çakışma","OK")))</f>
        <v/>
      </c>
      <c r="S198" s="37"/>
      <c r="T198" s="37" t="str">
        <f aca="false">IF(OR($A198&lt;&gt;"Seçildi",AND($I198="",$J198="")),"",IF(OR($O198&lt;&gt;"",$P198="⚠ Çakışma",$Q198="⚠ Çakışma",$R198="⚠ Çakışma"),"⚠ Kontrol Et","✓ Uygun"))</f>
        <v/>
      </c>
    </row>
    <row r="199" customFormat="false" ht="13.5" hidden="false" customHeight="true" outlineLevel="0" collapsed="false">
      <c r="A199" s="33" t="str">
        <f aca="false">'1-Ders Havuzu'!K67</f>
        <v>Seçilmedi</v>
      </c>
      <c r="B199" s="33" t="str">
        <f aca="false">IF($A199="Seçildi",IF('1-Ders Havuzu'!C67="","",'1-Ders Havuzu'!C67),"")</f>
        <v/>
      </c>
      <c r="C199" s="34" t="str">
        <f aca="false">IF($A199="Seçildi",IF('1-Ders Havuzu'!D67="","",'1-Ders Havuzu'!D67),"")</f>
        <v/>
      </c>
      <c r="D199" s="33" t="str">
        <f aca="false">IF($A199="Seçildi",IF('1-Ders Havuzu'!B67="","",'1-Ders Havuzu'!B67),"")</f>
        <v/>
      </c>
      <c r="E199" s="33" t="str">
        <f aca="false">IF($A199="Seçildi",IF('1-Ders Havuzu'!A67="","",'1-Ders Havuzu'!A67),"")</f>
        <v/>
      </c>
      <c r="F199" s="33" t="str">
        <f aca="false">IF($A199="Seçildi",IF('1-Ders Havuzu'!H67="","",'1-Ders Havuzu'!H67),"")</f>
        <v/>
      </c>
      <c r="G199" s="33" t="str">
        <f aca="false">IF($A199="Seçildi",IF('2-Ders-Öğr.Elemanı Eşleştirme'!H67="","",'2-Ders-Öğr.Elemanı Eşleştirme'!H67),"")</f>
        <v/>
      </c>
      <c r="H199" s="35" t="n">
        <v>1</v>
      </c>
      <c r="I199" s="36"/>
      <c r="J199" s="36"/>
      <c r="K199" s="36"/>
      <c r="L199" s="36"/>
      <c r="M199" s="33" t="str">
        <f aca="false">IF($J199="","",MATCH($J199,{"08.00";"09.00";"10.00";"11.00";"12.00";"13.00";"14.00";"15.00";"16.00";"17.00"},0))</f>
        <v/>
      </c>
      <c r="N199" s="33" t="str">
        <f aca="false">IF(OR($M199="",$K199=""),"",$M199+$K199-1)</f>
        <v/>
      </c>
      <c r="O199" s="33" t="str">
        <f aca="false">IF($A199&lt;&gt;"Seçildi","",IF(OR($M199="",$N199=""),"",IF($N199&gt;10,"⚠ Saat Taşıyor","")))</f>
        <v/>
      </c>
      <c r="P199" s="33" t="str">
        <f aca="false">IF($A199&lt;&gt;"Seçildi","",IF(OR($G199="",$I199="",$M199=""),"",IF(SUMPRODUCT(($A$7:$A$456="Seçildi")*($G$7:$G$456=$G199)*($I$7:$I$456=$I199)*(ROW($A$7:$A$456)&lt;&gt;199)*($M$7:$M$456&lt;=$N199)*($N$7:$N$456&gt;=$M199))&gt;0,"⚠ Çakışma","OK")))</f>
        <v/>
      </c>
      <c r="Q199" s="33" t="str">
        <f aca="false">IF($A199&lt;&gt;"Seçildi","",IF(OR($L199="",$I199="",$M199=""),"",IF(SUMPRODUCT(($A$7:$A$456="Seçildi")*($L$7:$L$456=$L199)*($I$7:$I$456=$I199)*(ROW($A$7:$A$456)&lt;&gt;199)*($M$7:$M$456&lt;=$N199)*($N$7:$N$456&gt;=$M199))&gt;0,"⚠ Çakışma","OK")))</f>
        <v/>
      </c>
      <c r="R199" s="33" t="str">
        <f aca="false">IF($A199&lt;&gt;"Seçildi","",IF(OR($D199="",$I199="",$M199=""),"",IF(SUMPRODUCT(($A$7:$A$456="Seçildi")*($D$7:$D$456=$D199)*($I$7:$I$456=$I199)*(ROW($A$7:$A$456)&lt;&gt;199)*($M$7:$M$456&lt;=$N199)*($N$7:$N$456&gt;=$M199))&gt;0,"⚠ Çakışma","OK")))</f>
        <v/>
      </c>
      <c r="S199" s="33" t="str">
        <f aca="false">IF($A199&lt;&gt;"Seçildi","",IF(SUM($K199,$K200,$K201)&lt;&gt;$F199,"⚠ Dağılım: "&amp;SUM($K199:$K201)&amp;"/"&amp;$F199&amp;" saat","✓ Tamam"))</f>
        <v/>
      </c>
      <c r="T199" s="33" t="str">
        <f aca="false">IF($A199&lt;&gt;"Seçildi","",IF(OR($O199&lt;&gt;"",$P199="⚠ Çakışma",$Q199="⚠ Çakışma",$R199="⚠ Çakışma",LEFT($S199&amp;" ",1)="⚠"),"⚠ Kontrol Et","✓ Uygun"))</f>
        <v/>
      </c>
    </row>
    <row r="200" customFormat="false" ht="13.5" hidden="false" customHeight="true" outlineLevel="0" collapsed="false">
      <c r="A200" s="33" t="str">
        <f aca="false">'1-Ders Havuzu'!K67</f>
        <v>Seçilmedi</v>
      </c>
      <c r="B200" s="33" t="str">
        <f aca="false">IF($A200="Seçildi",IF('1-Ders Havuzu'!C67="","",'1-Ders Havuzu'!C67),"")</f>
        <v/>
      </c>
      <c r="C200" s="34" t="str">
        <f aca="false">IF($A200="Seçildi",IF('1-Ders Havuzu'!D67="","",'1-Ders Havuzu'!D67),"")</f>
        <v/>
      </c>
      <c r="D200" s="33" t="str">
        <f aca="false">IF($A200="Seçildi",IF('1-Ders Havuzu'!B67="","",'1-Ders Havuzu'!B67),"")</f>
        <v/>
      </c>
      <c r="E200" s="33" t="str">
        <f aca="false">IF($A200="Seçildi",IF('1-Ders Havuzu'!A67="","",'1-Ders Havuzu'!A67),"")</f>
        <v/>
      </c>
      <c r="F200" s="33" t="str">
        <f aca="false">IF($A200="Seçildi",IF('1-Ders Havuzu'!H67="","",'1-Ders Havuzu'!H67),"")</f>
        <v/>
      </c>
      <c r="G200" s="33" t="str">
        <f aca="false">IF($A200="Seçildi",IF('2-Ders-Öğr.Elemanı Eşleştirme'!H67="","",'2-Ders-Öğr.Elemanı Eşleştirme'!H67),"")</f>
        <v/>
      </c>
      <c r="H200" s="35" t="n">
        <v>2</v>
      </c>
      <c r="I200" s="36"/>
      <c r="J200" s="36"/>
      <c r="K200" s="36"/>
      <c r="L200" s="36"/>
      <c r="M200" s="33" t="str">
        <f aca="false">IF($J200="","",MATCH($J200,{"08.00";"09.00";"10.00";"11.00";"12.00";"13.00";"14.00";"15.00";"16.00";"17.00"},0))</f>
        <v/>
      </c>
      <c r="N200" s="33" t="str">
        <f aca="false">IF(OR($M200="",$K200=""),"",$M200+$K200-1)</f>
        <v/>
      </c>
      <c r="O200" s="33" t="str">
        <f aca="false">IF($A200&lt;&gt;"Seçildi","",IF(OR($M200="",$N200=""),"",IF($N200&gt;10,"⚠ Saat Taşıyor","")))</f>
        <v/>
      </c>
      <c r="P200" s="33" t="str">
        <f aca="false">IF($A200&lt;&gt;"Seçildi","",IF(OR($G200="",$I200="",$M200=""),"",IF(SUMPRODUCT(($A$7:$A$456="Seçildi")*($G$7:$G$456=$G200)*($I$7:$I$456=$I200)*(ROW($A$7:$A$456)&lt;&gt;200)*($M$7:$M$456&lt;=$N200)*($N$7:$N$456&gt;=$M200))&gt;0,"⚠ Çakışma","OK")))</f>
        <v/>
      </c>
      <c r="Q200" s="33" t="str">
        <f aca="false">IF($A200&lt;&gt;"Seçildi","",IF(OR($L200="",$I200="",$M200=""),"",IF(SUMPRODUCT(($A$7:$A$456="Seçildi")*($L$7:$L$456=$L200)*($I$7:$I$456=$I200)*(ROW($A$7:$A$456)&lt;&gt;200)*($M$7:$M$456&lt;=$N200)*($N$7:$N$456&gt;=$M200))&gt;0,"⚠ Çakışma","OK")))</f>
        <v/>
      </c>
      <c r="R200" s="33" t="str">
        <f aca="false">IF($A200&lt;&gt;"Seçildi","",IF(OR($D200="",$I200="",$M200=""),"",IF(SUMPRODUCT(($A$7:$A$456="Seçildi")*($D$7:$D$456=$D200)*($I$7:$I$456=$I200)*(ROW($A$7:$A$456)&lt;&gt;200)*($M$7:$M$456&lt;=$N200)*($N$7:$N$456&gt;=$M200))&gt;0,"⚠ Çakışma","OK")))</f>
        <v/>
      </c>
      <c r="S200" s="33"/>
      <c r="T200" s="33" t="str">
        <f aca="false">IF(OR($A200&lt;&gt;"Seçildi",AND($I200="",$J200="")),"",IF(OR($O200&lt;&gt;"",$P200="⚠ Çakışma",$Q200="⚠ Çakışma",$R200="⚠ Çakışma"),"⚠ Kontrol Et","✓ Uygun"))</f>
        <v/>
      </c>
    </row>
    <row r="201" customFormat="false" ht="13.5" hidden="false" customHeight="true" outlineLevel="0" collapsed="false">
      <c r="A201" s="33" t="str">
        <f aca="false">'1-Ders Havuzu'!K67</f>
        <v>Seçilmedi</v>
      </c>
      <c r="B201" s="33" t="str">
        <f aca="false">IF($A201="Seçildi",IF('1-Ders Havuzu'!C67="","",'1-Ders Havuzu'!C67),"")</f>
        <v/>
      </c>
      <c r="C201" s="34" t="str">
        <f aca="false">IF($A201="Seçildi",IF('1-Ders Havuzu'!D67="","",'1-Ders Havuzu'!D67),"")</f>
        <v/>
      </c>
      <c r="D201" s="33" t="str">
        <f aca="false">IF($A201="Seçildi",IF('1-Ders Havuzu'!B67="","",'1-Ders Havuzu'!B67),"")</f>
        <v/>
      </c>
      <c r="E201" s="33" t="str">
        <f aca="false">IF($A201="Seçildi",IF('1-Ders Havuzu'!A67="","",'1-Ders Havuzu'!A67),"")</f>
        <v/>
      </c>
      <c r="F201" s="33" t="str">
        <f aca="false">IF($A201="Seçildi",IF('1-Ders Havuzu'!H67="","",'1-Ders Havuzu'!H67),"")</f>
        <v/>
      </c>
      <c r="G201" s="33" t="str">
        <f aca="false">IF($A201="Seçildi",IF('2-Ders-Öğr.Elemanı Eşleştirme'!H67="","",'2-Ders-Öğr.Elemanı Eşleştirme'!H67),"")</f>
        <v/>
      </c>
      <c r="H201" s="35" t="n">
        <v>3</v>
      </c>
      <c r="I201" s="36"/>
      <c r="J201" s="36"/>
      <c r="K201" s="36"/>
      <c r="L201" s="36"/>
      <c r="M201" s="33" t="str">
        <f aca="false">IF($J201="","",MATCH($J201,{"08.00";"09.00";"10.00";"11.00";"12.00";"13.00";"14.00";"15.00";"16.00";"17.00"},0))</f>
        <v/>
      </c>
      <c r="N201" s="33" t="str">
        <f aca="false">IF(OR($M201="",$K201=""),"",$M201+$K201-1)</f>
        <v/>
      </c>
      <c r="O201" s="33" t="str">
        <f aca="false">IF($A201&lt;&gt;"Seçildi","",IF(OR($M201="",$N201=""),"",IF($N201&gt;10,"⚠ Saat Taşıyor","")))</f>
        <v/>
      </c>
      <c r="P201" s="33" t="str">
        <f aca="false">IF($A201&lt;&gt;"Seçildi","",IF(OR($G201="",$I201="",$M201=""),"",IF(SUMPRODUCT(($A$7:$A$456="Seçildi")*($G$7:$G$456=$G201)*($I$7:$I$456=$I201)*(ROW($A$7:$A$456)&lt;&gt;201)*($M$7:$M$456&lt;=$N201)*($N$7:$N$456&gt;=$M201))&gt;0,"⚠ Çakışma","OK")))</f>
        <v/>
      </c>
      <c r="Q201" s="33" t="str">
        <f aca="false">IF($A201&lt;&gt;"Seçildi","",IF(OR($L201="",$I201="",$M201=""),"",IF(SUMPRODUCT(($A$7:$A$456="Seçildi")*($L$7:$L$456=$L201)*($I$7:$I$456=$I201)*(ROW($A$7:$A$456)&lt;&gt;201)*($M$7:$M$456&lt;=$N201)*($N$7:$N$456&gt;=$M201))&gt;0,"⚠ Çakışma","OK")))</f>
        <v/>
      </c>
      <c r="R201" s="33" t="str">
        <f aca="false">IF($A201&lt;&gt;"Seçildi","",IF(OR($D201="",$I201="",$M201=""),"",IF(SUMPRODUCT(($A$7:$A$456="Seçildi")*($D$7:$D$456=$D201)*($I$7:$I$456=$I201)*(ROW($A$7:$A$456)&lt;&gt;201)*($M$7:$M$456&lt;=$N201)*($N$7:$N$456&gt;=$M201))&gt;0,"⚠ Çakışma","OK")))</f>
        <v/>
      </c>
      <c r="S201" s="33"/>
      <c r="T201" s="33" t="str">
        <f aca="false">IF(OR($A201&lt;&gt;"Seçildi",AND($I201="",$J201="")),"",IF(OR($O201&lt;&gt;"",$P201="⚠ Çakışma",$Q201="⚠ Çakışma",$R201="⚠ Çakışma"),"⚠ Kontrol Et","✓ Uygun"))</f>
        <v/>
      </c>
    </row>
    <row r="202" customFormat="false" ht="13.5" hidden="false" customHeight="true" outlineLevel="0" collapsed="false">
      <c r="A202" s="37" t="str">
        <f aca="false">'1-Ders Havuzu'!K68</f>
        <v>Seçilmedi</v>
      </c>
      <c r="B202" s="37" t="str">
        <f aca="false">IF($A202="Seçildi",IF('1-Ders Havuzu'!C68="","",'1-Ders Havuzu'!C68),"")</f>
        <v/>
      </c>
      <c r="C202" s="38" t="str">
        <f aca="false">IF($A202="Seçildi",IF('1-Ders Havuzu'!D68="","",'1-Ders Havuzu'!D68),"")</f>
        <v/>
      </c>
      <c r="D202" s="37" t="str">
        <f aca="false">IF($A202="Seçildi",IF('1-Ders Havuzu'!B68="","",'1-Ders Havuzu'!B68),"")</f>
        <v/>
      </c>
      <c r="E202" s="37" t="str">
        <f aca="false">IF($A202="Seçildi",IF('1-Ders Havuzu'!A68="","",'1-Ders Havuzu'!A68),"")</f>
        <v/>
      </c>
      <c r="F202" s="37" t="str">
        <f aca="false">IF($A202="Seçildi",IF('1-Ders Havuzu'!H68="","",'1-Ders Havuzu'!H68),"")</f>
        <v/>
      </c>
      <c r="G202" s="37" t="str">
        <f aca="false">IF($A202="Seçildi",IF('2-Ders-Öğr.Elemanı Eşleştirme'!H68="","",'2-Ders-Öğr.Elemanı Eşleştirme'!H68),"")</f>
        <v/>
      </c>
      <c r="H202" s="39" t="n">
        <v>1</v>
      </c>
      <c r="I202" s="36"/>
      <c r="J202" s="36"/>
      <c r="K202" s="36"/>
      <c r="L202" s="36"/>
      <c r="M202" s="37" t="str">
        <f aca="false">IF($J202="","",MATCH($J202,{"08.00";"09.00";"10.00";"11.00";"12.00";"13.00";"14.00";"15.00";"16.00";"17.00"},0))</f>
        <v/>
      </c>
      <c r="N202" s="37" t="str">
        <f aca="false">IF(OR($M202="",$K202=""),"",$M202+$K202-1)</f>
        <v/>
      </c>
      <c r="O202" s="37" t="str">
        <f aca="false">IF($A202&lt;&gt;"Seçildi","",IF(OR($M202="",$N202=""),"",IF($N202&gt;10,"⚠ Saat Taşıyor","")))</f>
        <v/>
      </c>
      <c r="P202" s="37" t="str">
        <f aca="false">IF($A202&lt;&gt;"Seçildi","",IF(OR($G202="",$I202="",$M202=""),"",IF(SUMPRODUCT(($A$7:$A$456="Seçildi")*($G$7:$G$456=$G202)*($I$7:$I$456=$I202)*(ROW($A$7:$A$456)&lt;&gt;202)*($M$7:$M$456&lt;=$N202)*($N$7:$N$456&gt;=$M202))&gt;0,"⚠ Çakışma","OK")))</f>
        <v/>
      </c>
      <c r="Q202" s="37" t="str">
        <f aca="false">IF($A202&lt;&gt;"Seçildi","",IF(OR($L202="",$I202="",$M202=""),"",IF(SUMPRODUCT(($A$7:$A$456="Seçildi")*($L$7:$L$456=$L202)*($I$7:$I$456=$I202)*(ROW($A$7:$A$456)&lt;&gt;202)*($M$7:$M$456&lt;=$N202)*($N$7:$N$456&gt;=$M202))&gt;0,"⚠ Çakışma","OK")))</f>
        <v/>
      </c>
      <c r="R202" s="37" t="str">
        <f aca="false">IF($A202&lt;&gt;"Seçildi","",IF(OR($D202="",$I202="",$M202=""),"",IF(SUMPRODUCT(($A$7:$A$456="Seçildi")*($D$7:$D$456=$D202)*($I$7:$I$456=$I202)*(ROW($A$7:$A$456)&lt;&gt;202)*($M$7:$M$456&lt;=$N202)*($N$7:$N$456&gt;=$M202))&gt;0,"⚠ Çakışma","OK")))</f>
        <v/>
      </c>
      <c r="S202" s="37" t="str">
        <f aca="false">IF($A202&lt;&gt;"Seçildi","",IF(SUM($K202,$K203,$K204)&lt;&gt;$F202,"⚠ Dağılım: "&amp;SUM($K202:$K204)&amp;"/"&amp;$F202&amp;" saat","✓ Tamam"))</f>
        <v/>
      </c>
      <c r="T202" s="37" t="str">
        <f aca="false">IF($A202&lt;&gt;"Seçildi","",IF(OR($O202&lt;&gt;"",$P202="⚠ Çakışma",$Q202="⚠ Çakışma",$R202="⚠ Çakışma",LEFT($S202&amp;" ",1)="⚠"),"⚠ Kontrol Et","✓ Uygun"))</f>
        <v/>
      </c>
    </row>
    <row r="203" customFormat="false" ht="13.5" hidden="false" customHeight="true" outlineLevel="0" collapsed="false">
      <c r="A203" s="37" t="str">
        <f aca="false">'1-Ders Havuzu'!K68</f>
        <v>Seçilmedi</v>
      </c>
      <c r="B203" s="37" t="str">
        <f aca="false">IF($A203="Seçildi",IF('1-Ders Havuzu'!C68="","",'1-Ders Havuzu'!C68),"")</f>
        <v/>
      </c>
      <c r="C203" s="38" t="str">
        <f aca="false">IF($A203="Seçildi",IF('1-Ders Havuzu'!D68="","",'1-Ders Havuzu'!D68),"")</f>
        <v/>
      </c>
      <c r="D203" s="37" t="str">
        <f aca="false">IF($A203="Seçildi",IF('1-Ders Havuzu'!B68="","",'1-Ders Havuzu'!B68),"")</f>
        <v/>
      </c>
      <c r="E203" s="37" t="str">
        <f aca="false">IF($A203="Seçildi",IF('1-Ders Havuzu'!A68="","",'1-Ders Havuzu'!A68),"")</f>
        <v/>
      </c>
      <c r="F203" s="37" t="str">
        <f aca="false">IF($A203="Seçildi",IF('1-Ders Havuzu'!H68="","",'1-Ders Havuzu'!H68),"")</f>
        <v/>
      </c>
      <c r="G203" s="37" t="str">
        <f aca="false">IF($A203="Seçildi",IF('2-Ders-Öğr.Elemanı Eşleştirme'!H68="","",'2-Ders-Öğr.Elemanı Eşleştirme'!H68),"")</f>
        <v/>
      </c>
      <c r="H203" s="39" t="n">
        <v>2</v>
      </c>
      <c r="I203" s="36"/>
      <c r="J203" s="36"/>
      <c r="K203" s="36"/>
      <c r="L203" s="36"/>
      <c r="M203" s="37" t="str">
        <f aca="false">IF($J203="","",MATCH($J203,{"08.00";"09.00";"10.00";"11.00";"12.00";"13.00";"14.00";"15.00";"16.00";"17.00"},0))</f>
        <v/>
      </c>
      <c r="N203" s="37" t="str">
        <f aca="false">IF(OR($M203="",$K203=""),"",$M203+$K203-1)</f>
        <v/>
      </c>
      <c r="O203" s="37" t="str">
        <f aca="false">IF($A203&lt;&gt;"Seçildi","",IF(OR($M203="",$N203=""),"",IF($N203&gt;10,"⚠ Saat Taşıyor","")))</f>
        <v/>
      </c>
      <c r="P203" s="37" t="str">
        <f aca="false">IF($A203&lt;&gt;"Seçildi","",IF(OR($G203="",$I203="",$M203=""),"",IF(SUMPRODUCT(($A$7:$A$456="Seçildi")*($G$7:$G$456=$G203)*($I$7:$I$456=$I203)*(ROW($A$7:$A$456)&lt;&gt;203)*($M$7:$M$456&lt;=$N203)*($N$7:$N$456&gt;=$M203))&gt;0,"⚠ Çakışma","OK")))</f>
        <v/>
      </c>
      <c r="Q203" s="37" t="str">
        <f aca="false">IF($A203&lt;&gt;"Seçildi","",IF(OR($L203="",$I203="",$M203=""),"",IF(SUMPRODUCT(($A$7:$A$456="Seçildi")*($L$7:$L$456=$L203)*($I$7:$I$456=$I203)*(ROW($A$7:$A$456)&lt;&gt;203)*($M$7:$M$456&lt;=$N203)*($N$7:$N$456&gt;=$M203))&gt;0,"⚠ Çakışma","OK")))</f>
        <v/>
      </c>
      <c r="R203" s="37" t="str">
        <f aca="false">IF($A203&lt;&gt;"Seçildi","",IF(OR($D203="",$I203="",$M203=""),"",IF(SUMPRODUCT(($A$7:$A$456="Seçildi")*($D$7:$D$456=$D203)*($I$7:$I$456=$I203)*(ROW($A$7:$A$456)&lt;&gt;203)*($M$7:$M$456&lt;=$N203)*($N$7:$N$456&gt;=$M203))&gt;0,"⚠ Çakışma","OK")))</f>
        <v/>
      </c>
      <c r="S203" s="37"/>
      <c r="T203" s="37" t="str">
        <f aca="false">IF(OR($A203&lt;&gt;"Seçildi",AND($I203="",$J203="")),"",IF(OR($O203&lt;&gt;"",$P203="⚠ Çakışma",$Q203="⚠ Çakışma",$R203="⚠ Çakışma"),"⚠ Kontrol Et","✓ Uygun"))</f>
        <v/>
      </c>
    </row>
    <row r="204" customFormat="false" ht="13.5" hidden="false" customHeight="true" outlineLevel="0" collapsed="false">
      <c r="A204" s="37" t="str">
        <f aca="false">'1-Ders Havuzu'!K68</f>
        <v>Seçilmedi</v>
      </c>
      <c r="B204" s="37" t="str">
        <f aca="false">IF($A204="Seçildi",IF('1-Ders Havuzu'!C68="","",'1-Ders Havuzu'!C68),"")</f>
        <v/>
      </c>
      <c r="C204" s="38" t="str">
        <f aca="false">IF($A204="Seçildi",IF('1-Ders Havuzu'!D68="","",'1-Ders Havuzu'!D68),"")</f>
        <v/>
      </c>
      <c r="D204" s="37" t="str">
        <f aca="false">IF($A204="Seçildi",IF('1-Ders Havuzu'!B68="","",'1-Ders Havuzu'!B68),"")</f>
        <v/>
      </c>
      <c r="E204" s="37" t="str">
        <f aca="false">IF($A204="Seçildi",IF('1-Ders Havuzu'!A68="","",'1-Ders Havuzu'!A68),"")</f>
        <v/>
      </c>
      <c r="F204" s="37" t="str">
        <f aca="false">IF($A204="Seçildi",IF('1-Ders Havuzu'!H68="","",'1-Ders Havuzu'!H68),"")</f>
        <v/>
      </c>
      <c r="G204" s="37" t="str">
        <f aca="false">IF($A204="Seçildi",IF('2-Ders-Öğr.Elemanı Eşleştirme'!H68="","",'2-Ders-Öğr.Elemanı Eşleştirme'!H68),"")</f>
        <v/>
      </c>
      <c r="H204" s="39" t="n">
        <v>3</v>
      </c>
      <c r="I204" s="36"/>
      <c r="J204" s="36"/>
      <c r="K204" s="36"/>
      <c r="L204" s="36"/>
      <c r="M204" s="37" t="str">
        <f aca="false">IF($J204="","",MATCH($J204,{"08.00";"09.00";"10.00";"11.00";"12.00";"13.00";"14.00";"15.00";"16.00";"17.00"},0))</f>
        <v/>
      </c>
      <c r="N204" s="37" t="str">
        <f aca="false">IF(OR($M204="",$K204=""),"",$M204+$K204-1)</f>
        <v/>
      </c>
      <c r="O204" s="37" t="str">
        <f aca="false">IF($A204&lt;&gt;"Seçildi","",IF(OR($M204="",$N204=""),"",IF($N204&gt;10,"⚠ Saat Taşıyor","")))</f>
        <v/>
      </c>
      <c r="P204" s="37" t="str">
        <f aca="false">IF($A204&lt;&gt;"Seçildi","",IF(OR($G204="",$I204="",$M204=""),"",IF(SUMPRODUCT(($A$7:$A$456="Seçildi")*($G$7:$G$456=$G204)*($I$7:$I$456=$I204)*(ROW($A$7:$A$456)&lt;&gt;204)*($M$7:$M$456&lt;=$N204)*($N$7:$N$456&gt;=$M204))&gt;0,"⚠ Çakışma","OK")))</f>
        <v/>
      </c>
      <c r="Q204" s="37" t="str">
        <f aca="false">IF($A204&lt;&gt;"Seçildi","",IF(OR($L204="",$I204="",$M204=""),"",IF(SUMPRODUCT(($A$7:$A$456="Seçildi")*($L$7:$L$456=$L204)*($I$7:$I$456=$I204)*(ROW($A$7:$A$456)&lt;&gt;204)*($M$7:$M$456&lt;=$N204)*($N$7:$N$456&gt;=$M204))&gt;0,"⚠ Çakışma","OK")))</f>
        <v/>
      </c>
      <c r="R204" s="37" t="str">
        <f aca="false">IF($A204&lt;&gt;"Seçildi","",IF(OR($D204="",$I204="",$M204=""),"",IF(SUMPRODUCT(($A$7:$A$456="Seçildi")*($D$7:$D$456=$D204)*($I$7:$I$456=$I204)*(ROW($A$7:$A$456)&lt;&gt;204)*($M$7:$M$456&lt;=$N204)*($N$7:$N$456&gt;=$M204))&gt;0,"⚠ Çakışma","OK")))</f>
        <v/>
      </c>
      <c r="S204" s="37"/>
      <c r="T204" s="37" t="str">
        <f aca="false">IF(OR($A204&lt;&gt;"Seçildi",AND($I204="",$J204="")),"",IF(OR($O204&lt;&gt;"",$P204="⚠ Çakışma",$Q204="⚠ Çakışma",$R204="⚠ Çakışma"),"⚠ Kontrol Et","✓ Uygun"))</f>
        <v/>
      </c>
    </row>
    <row r="205" customFormat="false" ht="13.5" hidden="false" customHeight="true" outlineLevel="0" collapsed="false">
      <c r="A205" s="33" t="str">
        <f aca="false">'1-Ders Havuzu'!K69</f>
        <v>Seçilmedi</v>
      </c>
      <c r="B205" s="33" t="str">
        <f aca="false">IF($A205="Seçildi",IF('1-Ders Havuzu'!C69="","",'1-Ders Havuzu'!C69),"")</f>
        <v/>
      </c>
      <c r="C205" s="34" t="str">
        <f aca="false">IF($A205="Seçildi",IF('1-Ders Havuzu'!D69="","",'1-Ders Havuzu'!D69),"")</f>
        <v/>
      </c>
      <c r="D205" s="33" t="str">
        <f aca="false">IF($A205="Seçildi",IF('1-Ders Havuzu'!B69="","",'1-Ders Havuzu'!B69),"")</f>
        <v/>
      </c>
      <c r="E205" s="33" t="str">
        <f aca="false">IF($A205="Seçildi",IF('1-Ders Havuzu'!A69="","",'1-Ders Havuzu'!A69),"")</f>
        <v/>
      </c>
      <c r="F205" s="33" t="str">
        <f aca="false">IF($A205="Seçildi",IF('1-Ders Havuzu'!H69="","",'1-Ders Havuzu'!H69),"")</f>
        <v/>
      </c>
      <c r="G205" s="33" t="str">
        <f aca="false">IF($A205="Seçildi",IF('2-Ders-Öğr.Elemanı Eşleştirme'!H69="","",'2-Ders-Öğr.Elemanı Eşleştirme'!H69),"")</f>
        <v/>
      </c>
      <c r="H205" s="35" t="n">
        <v>1</v>
      </c>
      <c r="I205" s="36"/>
      <c r="J205" s="36"/>
      <c r="K205" s="36"/>
      <c r="L205" s="36"/>
      <c r="M205" s="33" t="str">
        <f aca="false">IF($J205="","",MATCH($J205,{"08.00";"09.00";"10.00";"11.00";"12.00";"13.00";"14.00";"15.00";"16.00";"17.00"},0))</f>
        <v/>
      </c>
      <c r="N205" s="33" t="str">
        <f aca="false">IF(OR($M205="",$K205=""),"",$M205+$K205-1)</f>
        <v/>
      </c>
      <c r="O205" s="33" t="str">
        <f aca="false">IF($A205&lt;&gt;"Seçildi","",IF(OR($M205="",$N205=""),"",IF($N205&gt;10,"⚠ Saat Taşıyor","")))</f>
        <v/>
      </c>
      <c r="P205" s="33" t="str">
        <f aca="false">IF($A205&lt;&gt;"Seçildi","",IF(OR($G205="",$I205="",$M205=""),"",IF(SUMPRODUCT(($A$7:$A$456="Seçildi")*($G$7:$G$456=$G205)*($I$7:$I$456=$I205)*(ROW($A$7:$A$456)&lt;&gt;205)*($M$7:$M$456&lt;=$N205)*($N$7:$N$456&gt;=$M205))&gt;0,"⚠ Çakışma","OK")))</f>
        <v/>
      </c>
      <c r="Q205" s="33" t="str">
        <f aca="false">IF($A205&lt;&gt;"Seçildi","",IF(OR($L205="",$I205="",$M205=""),"",IF(SUMPRODUCT(($A$7:$A$456="Seçildi")*($L$7:$L$456=$L205)*($I$7:$I$456=$I205)*(ROW($A$7:$A$456)&lt;&gt;205)*($M$7:$M$456&lt;=$N205)*($N$7:$N$456&gt;=$M205))&gt;0,"⚠ Çakışma","OK")))</f>
        <v/>
      </c>
      <c r="R205" s="33" t="str">
        <f aca="false">IF($A205&lt;&gt;"Seçildi","",IF(OR($D205="",$I205="",$M205=""),"",IF(SUMPRODUCT(($A$7:$A$456="Seçildi")*($D$7:$D$456=$D205)*($I$7:$I$456=$I205)*(ROW($A$7:$A$456)&lt;&gt;205)*($M$7:$M$456&lt;=$N205)*($N$7:$N$456&gt;=$M205))&gt;0,"⚠ Çakışma","OK")))</f>
        <v/>
      </c>
      <c r="S205" s="33" t="str">
        <f aca="false">IF($A205&lt;&gt;"Seçildi","",IF(SUM($K205,$K206,$K207)&lt;&gt;$F205,"⚠ Dağılım: "&amp;SUM($K205:$K207)&amp;"/"&amp;$F205&amp;" saat","✓ Tamam"))</f>
        <v/>
      </c>
      <c r="T205" s="33" t="str">
        <f aca="false">IF($A205&lt;&gt;"Seçildi","",IF(OR($O205&lt;&gt;"",$P205="⚠ Çakışma",$Q205="⚠ Çakışma",$R205="⚠ Çakışma",LEFT($S205&amp;" ",1)="⚠"),"⚠ Kontrol Et","✓ Uygun"))</f>
        <v/>
      </c>
    </row>
    <row r="206" customFormat="false" ht="13.5" hidden="false" customHeight="true" outlineLevel="0" collapsed="false">
      <c r="A206" s="33" t="str">
        <f aca="false">'1-Ders Havuzu'!K69</f>
        <v>Seçilmedi</v>
      </c>
      <c r="B206" s="33" t="str">
        <f aca="false">IF($A206="Seçildi",IF('1-Ders Havuzu'!C69="","",'1-Ders Havuzu'!C69),"")</f>
        <v/>
      </c>
      <c r="C206" s="34" t="str">
        <f aca="false">IF($A206="Seçildi",IF('1-Ders Havuzu'!D69="","",'1-Ders Havuzu'!D69),"")</f>
        <v/>
      </c>
      <c r="D206" s="33" t="str">
        <f aca="false">IF($A206="Seçildi",IF('1-Ders Havuzu'!B69="","",'1-Ders Havuzu'!B69),"")</f>
        <v/>
      </c>
      <c r="E206" s="33" t="str">
        <f aca="false">IF($A206="Seçildi",IF('1-Ders Havuzu'!A69="","",'1-Ders Havuzu'!A69),"")</f>
        <v/>
      </c>
      <c r="F206" s="33" t="str">
        <f aca="false">IF($A206="Seçildi",IF('1-Ders Havuzu'!H69="","",'1-Ders Havuzu'!H69),"")</f>
        <v/>
      </c>
      <c r="G206" s="33" t="str">
        <f aca="false">IF($A206="Seçildi",IF('2-Ders-Öğr.Elemanı Eşleştirme'!H69="","",'2-Ders-Öğr.Elemanı Eşleştirme'!H69),"")</f>
        <v/>
      </c>
      <c r="H206" s="35" t="n">
        <v>2</v>
      </c>
      <c r="I206" s="36"/>
      <c r="J206" s="36"/>
      <c r="K206" s="36"/>
      <c r="L206" s="36"/>
      <c r="M206" s="33" t="str">
        <f aca="false">IF($J206="","",MATCH($J206,{"08.00";"09.00";"10.00";"11.00";"12.00";"13.00";"14.00";"15.00";"16.00";"17.00"},0))</f>
        <v/>
      </c>
      <c r="N206" s="33" t="str">
        <f aca="false">IF(OR($M206="",$K206=""),"",$M206+$K206-1)</f>
        <v/>
      </c>
      <c r="O206" s="33" t="str">
        <f aca="false">IF($A206&lt;&gt;"Seçildi","",IF(OR($M206="",$N206=""),"",IF($N206&gt;10,"⚠ Saat Taşıyor","")))</f>
        <v/>
      </c>
      <c r="P206" s="33" t="str">
        <f aca="false">IF($A206&lt;&gt;"Seçildi","",IF(OR($G206="",$I206="",$M206=""),"",IF(SUMPRODUCT(($A$7:$A$456="Seçildi")*($G$7:$G$456=$G206)*($I$7:$I$456=$I206)*(ROW($A$7:$A$456)&lt;&gt;206)*($M$7:$M$456&lt;=$N206)*($N$7:$N$456&gt;=$M206))&gt;0,"⚠ Çakışma","OK")))</f>
        <v/>
      </c>
      <c r="Q206" s="33" t="str">
        <f aca="false">IF($A206&lt;&gt;"Seçildi","",IF(OR($L206="",$I206="",$M206=""),"",IF(SUMPRODUCT(($A$7:$A$456="Seçildi")*($L$7:$L$456=$L206)*($I$7:$I$456=$I206)*(ROW($A$7:$A$456)&lt;&gt;206)*($M$7:$M$456&lt;=$N206)*($N$7:$N$456&gt;=$M206))&gt;0,"⚠ Çakışma","OK")))</f>
        <v/>
      </c>
      <c r="R206" s="33" t="str">
        <f aca="false">IF($A206&lt;&gt;"Seçildi","",IF(OR($D206="",$I206="",$M206=""),"",IF(SUMPRODUCT(($A$7:$A$456="Seçildi")*($D$7:$D$456=$D206)*($I$7:$I$456=$I206)*(ROW($A$7:$A$456)&lt;&gt;206)*($M$7:$M$456&lt;=$N206)*($N$7:$N$456&gt;=$M206))&gt;0,"⚠ Çakışma","OK")))</f>
        <v/>
      </c>
      <c r="S206" s="33"/>
      <c r="T206" s="33" t="str">
        <f aca="false">IF(OR($A206&lt;&gt;"Seçildi",AND($I206="",$J206="")),"",IF(OR($O206&lt;&gt;"",$P206="⚠ Çakışma",$Q206="⚠ Çakışma",$R206="⚠ Çakışma"),"⚠ Kontrol Et","✓ Uygun"))</f>
        <v/>
      </c>
    </row>
    <row r="207" customFormat="false" ht="13.5" hidden="false" customHeight="true" outlineLevel="0" collapsed="false">
      <c r="A207" s="33" t="str">
        <f aca="false">'1-Ders Havuzu'!K69</f>
        <v>Seçilmedi</v>
      </c>
      <c r="B207" s="33" t="str">
        <f aca="false">IF($A207="Seçildi",IF('1-Ders Havuzu'!C69="","",'1-Ders Havuzu'!C69),"")</f>
        <v/>
      </c>
      <c r="C207" s="34" t="str">
        <f aca="false">IF($A207="Seçildi",IF('1-Ders Havuzu'!D69="","",'1-Ders Havuzu'!D69),"")</f>
        <v/>
      </c>
      <c r="D207" s="33" t="str">
        <f aca="false">IF($A207="Seçildi",IF('1-Ders Havuzu'!B69="","",'1-Ders Havuzu'!B69),"")</f>
        <v/>
      </c>
      <c r="E207" s="33" t="str">
        <f aca="false">IF($A207="Seçildi",IF('1-Ders Havuzu'!A69="","",'1-Ders Havuzu'!A69),"")</f>
        <v/>
      </c>
      <c r="F207" s="33" t="str">
        <f aca="false">IF($A207="Seçildi",IF('1-Ders Havuzu'!H69="","",'1-Ders Havuzu'!H69),"")</f>
        <v/>
      </c>
      <c r="G207" s="33" t="str">
        <f aca="false">IF($A207="Seçildi",IF('2-Ders-Öğr.Elemanı Eşleştirme'!H69="","",'2-Ders-Öğr.Elemanı Eşleştirme'!H69),"")</f>
        <v/>
      </c>
      <c r="H207" s="35" t="n">
        <v>3</v>
      </c>
      <c r="I207" s="36"/>
      <c r="J207" s="36"/>
      <c r="K207" s="36"/>
      <c r="L207" s="36"/>
      <c r="M207" s="33" t="str">
        <f aca="false">IF($J207="","",MATCH($J207,{"08.00";"09.00";"10.00";"11.00";"12.00";"13.00";"14.00";"15.00";"16.00";"17.00"},0))</f>
        <v/>
      </c>
      <c r="N207" s="33" t="str">
        <f aca="false">IF(OR($M207="",$K207=""),"",$M207+$K207-1)</f>
        <v/>
      </c>
      <c r="O207" s="33" t="str">
        <f aca="false">IF($A207&lt;&gt;"Seçildi","",IF(OR($M207="",$N207=""),"",IF($N207&gt;10,"⚠ Saat Taşıyor","")))</f>
        <v/>
      </c>
      <c r="P207" s="33" t="str">
        <f aca="false">IF($A207&lt;&gt;"Seçildi","",IF(OR($G207="",$I207="",$M207=""),"",IF(SUMPRODUCT(($A$7:$A$456="Seçildi")*($G$7:$G$456=$G207)*($I$7:$I$456=$I207)*(ROW($A$7:$A$456)&lt;&gt;207)*($M$7:$M$456&lt;=$N207)*($N$7:$N$456&gt;=$M207))&gt;0,"⚠ Çakışma","OK")))</f>
        <v/>
      </c>
      <c r="Q207" s="33" t="str">
        <f aca="false">IF($A207&lt;&gt;"Seçildi","",IF(OR($L207="",$I207="",$M207=""),"",IF(SUMPRODUCT(($A$7:$A$456="Seçildi")*($L$7:$L$456=$L207)*($I$7:$I$456=$I207)*(ROW($A$7:$A$456)&lt;&gt;207)*($M$7:$M$456&lt;=$N207)*($N$7:$N$456&gt;=$M207))&gt;0,"⚠ Çakışma","OK")))</f>
        <v/>
      </c>
      <c r="R207" s="33" t="str">
        <f aca="false">IF($A207&lt;&gt;"Seçildi","",IF(OR($D207="",$I207="",$M207=""),"",IF(SUMPRODUCT(($A$7:$A$456="Seçildi")*($D$7:$D$456=$D207)*($I$7:$I$456=$I207)*(ROW($A$7:$A$456)&lt;&gt;207)*($M$7:$M$456&lt;=$N207)*($N$7:$N$456&gt;=$M207))&gt;0,"⚠ Çakışma","OK")))</f>
        <v/>
      </c>
      <c r="S207" s="33"/>
      <c r="T207" s="33" t="str">
        <f aca="false">IF(OR($A207&lt;&gt;"Seçildi",AND($I207="",$J207="")),"",IF(OR($O207&lt;&gt;"",$P207="⚠ Çakışma",$Q207="⚠ Çakışma",$R207="⚠ Çakışma"),"⚠ Kontrol Et","✓ Uygun"))</f>
        <v/>
      </c>
    </row>
    <row r="208" customFormat="false" ht="13.5" hidden="false" customHeight="true" outlineLevel="0" collapsed="false">
      <c r="A208" s="37" t="str">
        <f aca="false">'1-Ders Havuzu'!K70</f>
        <v>Seçilmedi</v>
      </c>
      <c r="B208" s="37" t="str">
        <f aca="false">IF($A208="Seçildi",IF('1-Ders Havuzu'!C70="","",'1-Ders Havuzu'!C70),"")</f>
        <v/>
      </c>
      <c r="C208" s="38" t="str">
        <f aca="false">IF($A208="Seçildi",IF('1-Ders Havuzu'!D70="","",'1-Ders Havuzu'!D70),"")</f>
        <v/>
      </c>
      <c r="D208" s="37" t="str">
        <f aca="false">IF($A208="Seçildi",IF('1-Ders Havuzu'!B70="","",'1-Ders Havuzu'!B70),"")</f>
        <v/>
      </c>
      <c r="E208" s="37" t="str">
        <f aca="false">IF($A208="Seçildi",IF('1-Ders Havuzu'!A70="","",'1-Ders Havuzu'!A70),"")</f>
        <v/>
      </c>
      <c r="F208" s="37" t="str">
        <f aca="false">IF($A208="Seçildi",IF('1-Ders Havuzu'!H70="","",'1-Ders Havuzu'!H70),"")</f>
        <v/>
      </c>
      <c r="G208" s="37" t="str">
        <f aca="false">IF($A208="Seçildi",IF('2-Ders-Öğr.Elemanı Eşleştirme'!H70="","",'2-Ders-Öğr.Elemanı Eşleştirme'!H70),"")</f>
        <v/>
      </c>
      <c r="H208" s="39" t="n">
        <v>1</v>
      </c>
      <c r="I208" s="36"/>
      <c r="J208" s="36"/>
      <c r="K208" s="36"/>
      <c r="L208" s="36"/>
      <c r="M208" s="37" t="str">
        <f aca="false">IF($J208="","",MATCH($J208,{"08.00";"09.00";"10.00";"11.00";"12.00";"13.00";"14.00";"15.00";"16.00";"17.00"},0))</f>
        <v/>
      </c>
      <c r="N208" s="37" t="str">
        <f aca="false">IF(OR($M208="",$K208=""),"",$M208+$K208-1)</f>
        <v/>
      </c>
      <c r="O208" s="37" t="str">
        <f aca="false">IF($A208&lt;&gt;"Seçildi","",IF(OR($M208="",$N208=""),"",IF($N208&gt;10,"⚠ Saat Taşıyor","")))</f>
        <v/>
      </c>
      <c r="P208" s="37" t="str">
        <f aca="false">IF($A208&lt;&gt;"Seçildi","",IF(OR($G208="",$I208="",$M208=""),"",IF(SUMPRODUCT(($A$7:$A$456="Seçildi")*($G$7:$G$456=$G208)*($I$7:$I$456=$I208)*(ROW($A$7:$A$456)&lt;&gt;208)*($M$7:$M$456&lt;=$N208)*($N$7:$N$456&gt;=$M208))&gt;0,"⚠ Çakışma","OK")))</f>
        <v/>
      </c>
      <c r="Q208" s="37" t="str">
        <f aca="false">IF($A208&lt;&gt;"Seçildi","",IF(OR($L208="",$I208="",$M208=""),"",IF(SUMPRODUCT(($A$7:$A$456="Seçildi")*($L$7:$L$456=$L208)*($I$7:$I$456=$I208)*(ROW($A$7:$A$456)&lt;&gt;208)*($M$7:$M$456&lt;=$N208)*($N$7:$N$456&gt;=$M208))&gt;0,"⚠ Çakışma","OK")))</f>
        <v/>
      </c>
      <c r="R208" s="37" t="str">
        <f aca="false">IF($A208&lt;&gt;"Seçildi","",IF(OR($D208="",$I208="",$M208=""),"",IF(SUMPRODUCT(($A$7:$A$456="Seçildi")*($D$7:$D$456=$D208)*($I$7:$I$456=$I208)*(ROW($A$7:$A$456)&lt;&gt;208)*($M$7:$M$456&lt;=$N208)*($N$7:$N$456&gt;=$M208))&gt;0,"⚠ Çakışma","OK")))</f>
        <v/>
      </c>
      <c r="S208" s="37" t="str">
        <f aca="false">IF($A208&lt;&gt;"Seçildi","",IF(SUM($K208,$K209,$K210)&lt;&gt;$F208,"⚠ Dağılım: "&amp;SUM($K208:$K210)&amp;"/"&amp;$F208&amp;" saat","✓ Tamam"))</f>
        <v/>
      </c>
      <c r="T208" s="37" t="str">
        <f aca="false">IF($A208&lt;&gt;"Seçildi","",IF(OR($O208&lt;&gt;"",$P208="⚠ Çakışma",$Q208="⚠ Çakışma",$R208="⚠ Çakışma",LEFT($S208&amp;" ",1)="⚠"),"⚠ Kontrol Et","✓ Uygun"))</f>
        <v/>
      </c>
    </row>
    <row r="209" customFormat="false" ht="13.5" hidden="false" customHeight="true" outlineLevel="0" collapsed="false">
      <c r="A209" s="37" t="str">
        <f aca="false">'1-Ders Havuzu'!K70</f>
        <v>Seçilmedi</v>
      </c>
      <c r="B209" s="37" t="str">
        <f aca="false">IF($A209="Seçildi",IF('1-Ders Havuzu'!C70="","",'1-Ders Havuzu'!C70),"")</f>
        <v/>
      </c>
      <c r="C209" s="38" t="str">
        <f aca="false">IF($A209="Seçildi",IF('1-Ders Havuzu'!D70="","",'1-Ders Havuzu'!D70),"")</f>
        <v/>
      </c>
      <c r="D209" s="37" t="str">
        <f aca="false">IF($A209="Seçildi",IF('1-Ders Havuzu'!B70="","",'1-Ders Havuzu'!B70),"")</f>
        <v/>
      </c>
      <c r="E209" s="37" t="str">
        <f aca="false">IF($A209="Seçildi",IF('1-Ders Havuzu'!A70="","",'1-Ders Havuzu'!A70),"")</f>
        <v/>
      </c>
      <c r="F209" s="37" t="str">
        <f aca="false">IF($A209="Seçildi",IF('1-Ders Havuzu'!H70="","",'1-Ders Havuzu'!H70),"")</f>
        <v/>
      </c>
      <c r="G209" s="37" t="str">
        <f aca="false">IF($A209="Seçildi",IF('2-Ders-Öğr.Elemanı Eşleştirme'!H70="","",'2-Ders-Öğr.Elemanı Eşleştirme'!H70),"")</f>
        <v/>
      </c>
      <c r="H209" s="39" t="n">
        <v>2</v>
      </c>
      <c r="I209" s="36"/>
      <c r="J209" s="36"/>
      <c r="K209" s="36"/>
      <c r="L209" s="36"/>
      <c r="M209" s="37" t="str">
        <f aca="false">IF($J209="","",MATCH($J209,{"08.00";"09.00";"10.00";"11.00";"12.00";"13.00";"14.00";"15.00";"16.00";"17.00"},0))</f>
        <v/>
      </c>
      <c r="N209" s="37" t="str">
        <f aca="false">IF(OR($M209="",$K209=""),"",$M209+$K209-1)</f>
        <v/>
      </c>
      <c r="O209" s="37" t="str">
        <f aca="false">IF($A209&lt;&gt;"Seçildi","",IF(OR($M209="",$N209=""),"",IF($N209&gt;10,"⚠ Saat Taşıyor","")))</f>
        <v/>
      </c>
      <c r="P209" s="37" t="str">
        <f aca="false">IF($A209&lt;&gt;"Seçildi","",IF(OR($G209="",$I209="",$M209=""),"",IF(SUMPRODUCT(($A$7:$A$456="Seçildi")*($G$7:$G$456=$G209)*($I$7:$I$456=$I209)*(ROW($A$7:$A$456)&lt;&gt;209)*($M$7:$M$456&lt;=$N209)*($N$7:$N$456&gt;=$M209))&gt;0,"⚠ Çakışma","OK")))</f>
        <v/>
      </c>
      <c r="Q209" s="37" t="str">
        <f aca="false">IF($A209&lt;&gt;"Seçildi","",IF(OR($L209="",$I209="",$M209=""),"",IF(SUMPRODUCT(($A$7:$A$456="Seçildi")*($L$7:$L$456=$L209)*($I$7:$I$456=$I209)*(ROW($A$7:$A$456)&lt;&gt;209)*($M$7:$M$456&lt;=$N209)*($N$7:$N$456&gt;=$M209))&gt;0,"⚠ Çakışma","OK")))</f>
        <v/>
      </c>
      <c r="R209" s="37" t="str">
        <f aca="false">IF($A209&lt;&gt;"Seçildi","",IF(OR($D209="",$I209="",$M209=""),"",IF(SUMPRODUCT(($A$7:$A$456="Seçildi")*($D$7:$D$456=$D209)*($I$7:$I$456=$I209)*(ROW($A$7:$A$456)&lt;&gt;209)*($M$7:$M$456&lt;=$N209)*($N$7:$N$456&gt;=$M209))&gt;0,"⚠ Çakışma","OK")))</f>
        <v/>
      </c>
      <c r="S209" s="37"/>
      <c r="T209" s="37" t="str">
        <f aca="false">IF(OR($A209&lt;&gt;"Seçildi",AND($I209="",$J209="")),"",IF(OR($O209&lt;&gt;"",$P209="⚠ Çakışma",$Q209="⚠ Çakışma",$R209="⚠ Çakışma"),"⚠ Kontrol Et","✓ Uygun"))</f>
        <v/>
      </c>
    </row>
    <row r="210" customFormat="false" ht="13.5" hidden="false" customHeight="true" outlineLevel="0" collapsed="false">
      <c r="A210" s="37" t="str">
        <f aca="false">'1-Ders Havuzu'!K70</f>
        <v>Seçilmedi</v>
      </c>
      <c r="B210" s="37" t="str">
        <f aca="false">IF($A210="Seçildi",IF('1-Ders Havuzu'!C70="","",'1-Ders Havuzu'!C70),"")</f>
        <v/>
      </c>
      <c r="C210" s="38" t="str">
        <f aca="false">IF($A210="Seçildi",IF('1-Ders Havuzu'!D70="","",'1-Ders Havuzu'!D70),"")</f>
        <v/>
      </c>
      <c r="D210" s="37" t="str">
        <f aca="false">IF($A210="Seçildi",IF('1-Ders Havuzu'!B70="","",'1-Ders Havuzu'!B70),"")</f>
        <v/>
      </c>
      <c r="E210" s="37" t="str">
        <f aca="false">IF($A210="Seçildi",IF('1-Ders Havuzu'!A70="","",'1-Ders Havuzu'!A70),"")</f>
        <v/>
      </c>
      <c r="F210" s="37" t="str">
        <f aca="false">IF($A210="Seçildi",IF('1-Ders Havuzu'!H70="","",'1-Ders Havuzu'!H70),"")</f>
        <v/>
      </c>
      <c r="G210" s="37" t="str">
        <f aca="false">IF($A210="Seçildi",IF('2-Ders-Öğr.Elemanı Eşleştirme'!H70="","",'2-Ders-Öğr.Elemanı Eşleştirme'!H70),"")</f>
        <v/>
      </c>
      <c r="H210" s="39" t="n">
        <v>3</v>
      </c>
      <c r="I210" s="36"/>
      <c r="J210" s="36"/>
      <c r="K210" s="36"/>
      <c r="L210" s="36"/>
      <c r="M210" s="37" t="str">
        <f aca="false">IF($J210="","",MATCH($J210,{"08.00";"09.00";"10.00";"11.00";"12.00";"13.00";"14.00";"15.00";"16.00";"17.00"},0))</f>
        <v/>
      </c>
      <c r="N210" s="37" t="str">
        <f aca="false">IF(OR($M210="",$K210=""),"",$M210+$K210-1)</f>
        <v/>
      </c>
      <c r="O210" s="37" t="str">
        <f aca="false">IF($A210&lt;&gt;"Seçildi","",IF(OR($M210="",$N210=""),"",IF($N210&gt;10,"⚠ Saat Taşıyor","")))</f>
        <v/>
      </c>
      <c r="P210" s="37" t="str">
        <f aca="false">IF($A210&lt;&gt;"Seçildi","",IF(OR($G210="",$I210="",$M210=""),"",IF(SUMPRODUCT(($A$7:$A$456="Seçildi")*($G$7:$G$456=$G210)*($I$7:$I$456=$I210)*(ROW($A$7:$A$456)&lt;&gt;210)*($M$7:$M$456&lt;=$N210)*($N$7:$N$456&gt;=$M210))&gt;0,"⚠ Çakışma","OK")))</f>
        <v/>
      </c>
      <c r="Q210" s="37" t="str">
        <f aca="false">IF($A210&lt;&gt;"Seçildi","",IF(OR($L210="",$I210="",$M210=""),"",IF(SUMPRODUCT(($A$7:$A$456="Seçildi")*($L$7:$L$456=$L210)*($I$7:$I$456=$I210)*(ROW($A$7:$A$456)&lt;&gt;210)*($M$7:$M$456&lt;=$N210)*($N$7:$N$456&gt;=$M210))&gt;0,"⚠ Çakışma","OK")))</f>
        <v/>
      </c>
      <c r="R210" s="37" t="str">
        <f aca="false">IF($A210&lt;&gt;"Seçildi","",IF(OR($D210="",$I210="",$M210=""),"",IF(SUMPRODUCT(($A$7:$A$456="Seçildi")*($D$7:$D$456=$D210)*($I$7:$I$456=$I210)*(ROW($A$7:$A$456)&lt;&gt;210)*($M$7:$M$456&lt;=$N210)*($N$7:$N$456&gt;=$M210))&gt;0,"⚠ Çakışma","OK")))</f>
        <v/>
      </c>
      <c r="S210" s="37"/>
      <c r="T210" s="37" t="str">
        <f aca="false">IF(OR($A210&lt;&gt;"Seçildi",AND($I210="",$J210="")),"",IF(OR($O210&lt;&gt;"",$P210="⚠ Çakışma",$Q210="⚠ Çakışma",$R210="⚠ Çakışma"),"⚠ Kontrol Et","✓ Uygun"))</f>
        <v/>
      </c>
    </row>
    <row r="211" customFormat="false" ht="13.5" hidden="false" customHeight="true" outlineLevel="0" collapsed="false">
      <c r="A211" s="33" t="str">
        <f aca="false">'1-Ders Havuzu'!K71</f>
        <v>Seçilmedi</v>
      </c>
      <c r="B211" s="33" t="str">
        <f aca="false">IF($A211="Seçildi",IF('1-Ders Havuzu'!C71="","",'1-Ders Havuzu'!C71),"")</f>
        <v/>
      </c>
      <c r="C211" s="34" t="str">
        <f aca="false">IF($A211="Seçildi",IF('1-Ders Havuzu'!D71="","",'1-Ders Havuzu'!D71),"")</f>
        <v/>
      </c>
      <c r="D211" s="33" t="str">
        <f aca="false">IF($A211="Seçildi",IF('1-Ders Havuzu'!B71="","",'1-Ders Havuzu'!B71),"")</f>
        <v/>
      </c>
      <c r="E211" s="33" t="str">
        <f aca="false">IF($A211="Seçildi",IF('1-Ders Havuzu'!A71="","",'1-Ders Havuzu'!A71),"")</f>
        <v/>
      </c>
      <c r="F211" s="33" t="str">
        <f aca="false">IF($A211="Seçildi",IF('1-Ders Havuzu'!H71="","",'1-Ders Havuzu'!H71),"")</f>
        <v/>
      </c>
      <c r="G211" s="33" t="str">
        <f aca="false">IF($A211="Seçildi",IF('2-Ders-Öğr.Elemanı Eşleştirme'!H71="","",'2-Ders-Öğr.Elemanı Eşleştirme'!H71),"")</f>
        <v/>
      </c>
      <c r="H211" s="35" t="n">
        <v>1</v>
      </c>
      <c r="I211" s="36"/>
      <c r="J211" s="36"/>
      <c r="K211" s="36"/>
      <c r="L211" s="36"/>
      <c r="M211" s="33" t="str">
        <f aca="false">IF($J211="","",MATCH($J211,{"08.00";"09.00";"10.00";"11.00";"12.00";"13.00";"14.00";"15.00";"16.00";"17.00"},0))</f>
        <v/>
      </c>
      <c r="N211" s="33" t="str">
        <f aca="false">IF(OR($M211="",$K211=""),"",$M211+$K211-1)</f>
        <v/>
      </c>
      <c r="O211" s="33" t="str">
        <f aca="false">IF($A211&lt;&gt;"Seçildi","",IF(OR($M211="",$N211=""),"",IF($N211&gt;10,"⚠ Saat Taşıyor","")))</f>
        <v/>
      </c>
      <c r="P211" s="33" t="str">
        <f aca="false">IF($A211&lt;&gt;"Seçildi","",IF(OR($G211="",$I211="",$M211=""),"",IF(SUMPRODUCT(($A$7:$A$456="Seçildi")*($G$7:$G$456=$G211)*($I$7:$I$456=$I211)*(ROW($A$7:$A$456)&lt;&gt;211)*($M$7:$M$456&lt;=$N211)*($N$7:$N$456&gt;=$M211))&gt;0,"⚠ Çakışma","OK")))</f>
        <v/>
      </c>
      <c r="Q211" s="33" t="str">
        <f aca="false">IF($A211&lt;&gt;"Seçildi","",IF(OR($L211="",$I211="",$M211=""),"",IF(SUMPRODUCT(($A$7:$A$456="Seçildi")*($L$7:$L$456=$L211)*($I$7:$I$456=$I211)*(ROW($A$7:$A$456)&lt;&gt;211)*($M$7:$M$456&lt;=$N211)*($N$7:$N$456&gt;=$M211))&gt;0,"⚠ Çakışma","OK")))</f>
        <v/>
      </c>
      <c r="R211" s="33" t="str">
        <f aca="false">IF($A211&lt;&gt;"Seçildi","",IF(OR($D211="",$I211="",$M211=""),"",IF(SUMPRODUCT(($A$7:$A$456="Seçildi")*($D$7:$D$456=$D211)*($I$7:$I$456=$I211)*(ROW($A$7:$A$456)&lt;&gt;211)*($M$7:$M$456&lt;=$N211)*($N$7:$N$456&gt;=$M211))&gt;0,"⚠ Çakışma","OK")))</f>
        <v/>
      </c>
      <c r="S211" s="33" t="str">
        <f aca="false">IF($A211&lt;&gt;"Seçildi","",IF(SUM($K211,$K212,$K213)&lt;&gt;$F211,"⚠ Dağılım: "&amp;SUM($K211:$K213)&amp;"/"&amp;$F211&amp;" saat","✓ Tamam"))</f>
        <v/>
      </c>
      <c r="T211" s="33" t="str">
        <f aca="false">IF($A211&lt;&gt;"Seçildi","",IF(OR($O211&lt;&gt;"",$P211="⚠ Çakışma",$Q211="⚠ Çakışma",$R211="⚠ Çakışma",LEFT($S211&amp;" ",1)="⚠"),"⚠ Kontrol Et","✓ Uygun"))</f>
        <v/>
      </c>
    </row>
    <row r="212" customFormat="false" ht="13.5" hidden="false" customHeight="true" outlineLevel="0" collapsed="false">
      <c r="A212" s="33" t="str">
        <f aca="false">'1-Ders Havuzu'!K71</f>
        <v>Seçilmedi</v>
      </c>
      <c r="B212" s="33" t="str">
        <f aca="false">IF($A212="Seçildi",IF('1-Ders Havuzu'!C71="","",'1-Ders Havuzu'!C71),"")</f>
        <v/>
      </c>
      <c r="C212" s="34" t="str">
        <f aca="false">IF($A212="Seçildi",IF('1-Ders Havuzu'!D71="","",'1-Ders Havuzu'!D71),"")</f>
        <v/>
      </c>
      <c r="D212" s="33" t="str">
        <f aca="false">IF($A212="Seçildi",IF('1-Ders Havuzu'!B71="","",'1-Ders Havuzu'!B71),"")</f>
        <v/>
      </c>
      <c r="E212" s="33" t="str">
        <f aca="false">IF($A212="Seçildi",IF('1-Ders Havuzu'!A71="","",'1-Ders Havuzu'!A71),"")</f>
        <v/>
      </c>
      <c r="F212" s="33" t="str">
        <f aca="false">IF($A212="Seçildi",IF('1-Ders Havuzu'!H71="","",'1-Ders Havuzu'!H71),"")</f>
        <v/>
      </c>
      <c r="G212" s="33" t="str">
        <f aca="false">IF($A212="Seçildi",IF('2-Ders-Öğr.Elemanı Eşleştirme'!H71="","",'2-Ders-Öğr.Elemanı Eşleştirme'!H71),"")</f>
        <v/>
      </c>
      <c r="H212" s="35" t="n">
        <v>2</v>
      </c>
      <c r="I212" s="36"/>
      <c r="J212" s="36"/>
      <c r="K212" s="36"/>
      <c r="L212" s="36"/>
      <c r="M212" s="33" t="str">
        <f aca="false">IF($J212="","",MATCH($J212,{"08.00";"09.00";"10.00";"11.00";"12.00";"13.00";"14.00";"15.00";"16.00";"17.00"},0))</f>
        <v/>
      </c>
      <c r="N212" s="33" t="str">
        <f aca="false">IF(OR($M212="",$K212=""),"",$M212+$K212-1)</f>
        <v/>
      </c>
      <c r="O212" s="33" t="str">
        <f aca="false">IF($A212&lt;&gt;"Seçildi","",IF(OR($M212="",$N212=""),"",IF($N212&gt;10,"⚠ Saat Taşıyor","")))</f>
        <v/>
      </c>
      <c r="P212" s="33" t="str">
        <f aca="false">IF($A212&lt;&gt;"Seçildi","",IF(OR($G212="",$I212="",$M212=""),"",IF(SUMPRODUCT(($A$7:$A$456="Seçildi")*($G$7:$G$456=$G212)*($I$7:$I$456=$I212)*(ROW($A$7:$A$456)&lt;&gt;212)*($M$7:$M$456&lt;=$N212)*($N$7:$N$456&gt;=$M212))&gt;0,"⚠ Çakışma","OK")))</f>
        <v/>
      </c>
      <c r="Q212" s="33" t="str">
        <f aca="false">IF($A212&lt;&gt;"Seçildi","",IF(OR($L212="",$I212="",$M212=""),"",IF(SUMPRODUCT(($A$7:$A$456="Seçildi")*($L$7:$L$456=$L212)*($I$7:$I$456=$I212)*(ROW($A$7:$A$456)&lt;&gt;212)*($M$7:$M$456&lt;=$N212)*($N$7:$N$456&gt;=$M212))&gt;0,"⚠ Çakışma","OK")))</f>
        <v/>
      </c>
      <c r="R212" s="33" t="str">
        <f aca="false">IF($A212&lt;&gt;"Seçildi","",IF(OR($D212="",$I212="",$M212=""),"",IF(SUMPRODUCT(($A$7:$A$456="Seçildi")*($D$7:$D$456=$D212)*($I$7:$I$456=$I212)*(ROW($A$7:$A$456)&lt;&gt;212)*($M$7:$M$456&lt;=$N212)*($N$7:$N$456&gt;=$M212))&gt;0,"⚠ Çakışma","OK")))</f>
        <v/>
      </c>
      <c r="S212" s="33"/>
      <c r="T212" s="33" t="str">
        <f aca="false">IF(OR($A212&lt;&gt;"Seçildi",AND($I212="",$J212="")),"",IF(OR($O212&lt;&gt;"",$P212="⚠ Çakışma",$Q212="⚠ Çakışma",$R212="⚠ Çakışma"),"⚠ Kontrol Et","✓ Uygun"))</f>
        <v/>
      </c>
    </row>
    <row r="213" customFormat="false" ht="13.5" hidden="false" customHeight="true" outlineLevel="0" collapsed="false">
      <c r="A213" s="33" t="str">
        <f aca="false">'1-Ders Havuzu'!K71</f>
        <v>Seçilmedi</v>
      </c>
      <c r="B213" s="33" t="str">
        <f aca="false">IF($A213="Seçildi",IF('1-Ders Havuzu'!C71="","",'1-Ders Havuzu'!C71),"")</f>
        <v/>
      </c>
      <c r="C213" s="34" t="str">
        <f aca="false">IF($A213="Seçildi",IF('1-Ders Havuzu'!D71="","",'1-Ders Havuzu'!D71),"")</f>
        <v/>
      </c>
      <c r="D213" s="33" t="str">
        <f aca="false">IF($A213="Seçildi",IF('1-Ders Havuzu'!B71="","",'1-Ders Havuzu'!B71),"")</f>
        <v/>
      </c>
      <c r="E213" s="33" t="str">
        <f aca="false">IF($A213="Seçildi",IF('1-Ders Havuzu'!A71="","",'1-Ders Havuzu'!A71),"")</f>
        <v/>
      </c>
      <c r="F213" s="33" t="str">
        <f aca="false">IF($A213="Seçildi",IF('1-Ders Havuzu'!H71="","",'1-Ders Havuzu'!H71),"")</f>
        <v/>
      </c>
      <c r="G213" s="33" t="str">
        <f aca="false">IF($A213="Seçildi",IF('2-Ders-Öğr.Elemanı Eşleştirme'!H71="","",'2-Ders-Öğr.Elemanı Eşleştirme'!H71),"")</f>
        <v/>
      </c>
      <c r="H213" s="35" t="n">
        <v>3</v>
      </c>
      <c r="I213" s="36"/>
      <c r="J213" s="36"/>
      <c r="K213" s="36"/>
      <c r="L213" s="36"/>
      <c r="M213" s="33" t="str">
        <f aca="false">IF($J213="","",MATCH($J213,{"08.00";"09.00";"10.00";"11.00";"12.00";"13.00";"14.00";"15.00";"16.00";"17.00"},0))</f>
        <v/>
      </c>
      <c r="N213" s="33" t="str">
        <f aca="false">IF(OR($M213="",$K213=""),"",$M213+$K213-1)</f>
        <v/>
      </c>
      <c r="O213" s="33" t="str">
        <f aca="false">IF($A213&lt;&gt;"Seçildi","",IF(OR($M213="",$N213=""),"",IF($N213&gt;10,"⚠ Saat Taşıyor","")))</f>
        <v/>
      </c>
      <c r="P213" s="33" t="str">
        <f aca="false">IF($A213&lt;&gt;"Seçildi","",IF(OR($G213="",$I213="",$M213=""),"",IF(SUMPRODUCT(($A$7:$A$456="Seçildi")*($G$7:$G$456=$G213)*($I$7:$I$456=$I213)*(ROW($A$7:$A$456)&lt;&gt;213)*($M$7:$M$456&lt;=$N213)*($N$7:$N$456&gt;=$M213))&gt;0,"⚠ Çakışma","OK")))</f>
        <v/>
      </c>
      <c r="Q213" s="33" t="str">
        <f aca="false">IF($A213&lt;&gt;"Seçildi","",IF(OR($L213="",$I213="",$M213=""),"",IF(SUMPRODUCT(($A$7:$A$456="Seçildi")*($L$7:$L$456=$L213)*($I$7:$I$456=$I213)*(ROW($A$7:$A$456)&lt;&gt;213)*($M$7:$M$456&lt;=$N213)*($N$7:$N$456&gt;=$M213))&gt;0,"⚠ Çakışma","OK")))</f>
        <v/>
      </c>
      <c r="R213" s="33" t="str">
        <f aca="false">IF($A213&lt;&gt;"Seçildi","",IF(OR($D213="",$I213="",$M213=""),"",IF(SUMPRODUCT(($A$7:$A$456="Seçildi")*($D$7:$D$456=$D213)*($I$7:$I$456=$I213)*(ROW($A$7:$A$456)&lt;&gt;213)*($M$7:$M$456&lt;=$N213)*($N$7:$N$456&gt;=$M213))&gt;0,"⚠ Çakışma","OK")))</f>
        <v/>
      </c>
      <c r="S213" s="33"/>
      <c r="T213" s="33" t="str">
        <f aca="false">IF(OR($A213&lt;&gt;"Seçildi",AND($I213="",$J213="")),"",IF(OR($O213&lt;&gt;"",$P213="⚠ Çakışma",$Q213="⚠ Çakışma",$R213="⚠ Çakışma"),"⚠ Kontrol Et","✓ Uygun"))</f>
        <v/>
      </c>
    </row>
    <row r="214" customFormat="false" ht="13.5" hidden="false" customHeight="true" outlineLevel="0" collapsed="false">
      <c r="A214" s="37" t="str">
        <f aca="false">'1-Ders Havuzu'!K72</f>
        <v>Seçilmedi</v>
      </c>
      <c r="B214" s="37" t="str">
        <f aca="false">IF($A214="Seçildi",IF('1-Ders Havuzu'!C72="","",'1-Ders Havuzu'!C72),"")</f>
        <v/>
      </c>
      <c r="C214" s="38" t="str">
        <f aca="false">IF($A214="Seçildi",IF('1-Ders Havuzu'!D72="","",'1-Ders Havuzu'!D72),"")</f>
        <v/>
      </c>
      <c r="D214" s="37" t="str">
        <f aca="false">IF($A214="Seçildi",IF('1-Ders Havuzu'!B72="","",'1-Ders Havuzu'!B72),"")</f>
        <v/>
      </c>
      <c r="E214" s="37" t="str">
        <f aca="false">IF($A214="Seçildi",IF('1-Ders Havuzu'!A72="","",'1-Ders Havuzu'!A72),"")</f>
        <v/>
      </c>
      <c r="F214" s="37" t="str">
        <f aca="false">IF($A214="Seçildi",IF('1-Ders Havuzu'!H72="","",'1-Ders Havuzu'!H72),"")</f>
        <v/>
      </c>
      <c r="G214" s="37" t="str">
        <f aca="false">IF($A214="Seçildi",IF('2-Ders-Öğr.Elemanı Eşleştirme'!H72="","",'2-Ders-Öğr.Elemanı Eşleştirme'!H72),"")</f>
        <v/>
      </c>
      <c r="H214" s="39" t="n">
        <v>1</v>
      </c>
      <c r="I214" s="36"/>
      <c r="J214" s="36"/>
      <c r="K214" s="36"/>
      <c r="L214" s="36"/>
      <c r="M214" s="37" t="str">
        <f aca="false">IF($J214="","",MATCH($J214,{"08.00";"09.00";"10.00";"11.00";"12.00";"13.00";"14.00";"15.00";"16.00";"17.00"},0))</f>
        <v/>
      </c>
      <c r="N214" s="37" t="str">
        <f aca="false">IF(OR($M214="",$K214=""),"",$M214+$K214-1)</f>
        <v/>
      </c>
      <c r="O214" s="37" t="str">
        <f aca="false">IF($A214&lt;&gt;"Seçildi","",IF(OR($M214="",$N214=""),"",IF($N214&gt;10,"⚠ Saat Taşıyor","")))</f>
        <v/>
      </c>
      <c r="P214" s="37" t="str">
        <f aca="false">IF($A214&lt;&gt;"Seçildi","",IF(OR($G214="",$I214="",$M214=""),"",IF(SUMPRODUCT(($A$7:$A$456="Seçildi")*($G$7:$G$456=$G214)*($I$7:$I$456=$I214)*(ROW($A$7:$A$456)&lt;&gt;214)*($M$7:$M$456&lt;=$N214)*($N$7:$N$456&gt;=$M214))&gt;0,"⚠ Çakışma","OK")))</f>
        <v/>
      </c>
      <c r="Q214" s="37" t="str">
        <f aca="false">IF($A214&lt;&gt;"Seçildi","",IF(OR($L214="",$I214="",$M214=""),"",IF(SUMPRODUCT(($A$7:$A$456="Seçildi")*($L$7:$L$456=$L214)*($I$7:$I$456=$I214)*(ROW($A$7:$A$456)&lt;&gt;214)*($M$7:$M$456&lt;=$N214)*($N$7:$N$456&gt;=$M214))&gt;0,"⚠ Çakışma","OK")))</f>
        <v/>
      </c>
      <c r="R214" s="37" t="str">
        <f aca="false">IF($A214&lt;&gt;"Seçildi","",IF(OR($D214="",$I214="",$M214=""),"",IF(SUMPRODUCT(($A$7:$A$456="Seçildi")*($D$7:$D$456=$D214)*($I$7:$I$456=$I214)*(ROW($A$7:$A$456)&lt;&gt;214)*($M$7:$M$456&lt;=$N214)*($N$7:$N$456&gt;=$M214))&gt;0,"⚠ Çakışma","OK")))</f>
        <v/>
      </c>
      <c r="S214" s="37" t="str">
        <f aca="false">IF($A214&lt;&gt;"Seçildi","",IF(SUM($K214,$K215,$K216)&lt;&gt;$F214,"⚠ Dağılım: "&amp;SUM($K214:$K216)&amp;"/"&amp;$F214&amp;" saat","✓ Tamam"))</f>
        <v/>
      </c>
      <c r="T214" s="37" t="str">
        <f aca="false">IF($A214&lt;&gt;"Seçildi","",IF(OR($O214&lt;&gt;"",$P214="⚠ Çakışma",$Q214="⚠ Çakışma",$R214="⚠ Çakışma",LEFT($S214&amp;" ",1)="⚠"),"⚠ Kontrol Et","✓ Uygun"))</f>
        <v/>
      </c>
    </row>
    <row r="215" customFormat="false" ht="13.5" hidden="false" customHeight="true" outlineLevel="0" collapsed="false">
      <c r="A215" s="37" t="str">
        <f aca="false">'1-Ders Havuzu'!K72</f>
        <v>Seçilmedi</v>
      </c>
      <c r="B215" s="37" t="str">
        <f aca="false">IF($A215="Seçildi",IF('1-Ders Havuzu'!C72="","",'1-Ders Havuzu'!C72),"")</f>
        <v/>
      </c>
      <c r="C215" s="38" t="str">
        <f aca="false">IF($A215="Seçildi",IF('1-Ders Havuzu'!D72="","",'1-Ders Havuzu'!D72),"")</f>
        <v/>
      </c>
      <c r="D215" s="37" t="str">
        <f aca="false">IF($A215="Seçildi",IF('1-Ders Havuzu'!B72="","",'1-Ders Havuzu'!B72),"")</f>
        <v/>
      </c>
      <c r="E215" s="37" t="str">
        <f aca="false">IF($A215="Seçildi",IF('1-Ders Havuzu'!A72="","",'1-Ders Havuzu'!A72),"")</f>
        <v/>
      </c>
      <c r="F215" s="37" t="str">
        <f aca="false">IF($A215="Seçildi",IF('1-Ders Havuzu'!H72="","",'1-Ders Havuzu'!H72),"")</f>
        <v/>
      </c>
      <c r="G215" s="37" t="str">
        <f aca="false">IF($A215="Seçildi",IF('2-Ders-Öğr.Elemanı Eşleştirme'!H72="","",'2-Ders-Öğr.Elemanı Eşleştirme'!H72),"")</f>
        <v/>
      </c>
      <c r="H215" s="39" t="n">
        <v>2</v>
      </c>
      <c r="I215" s="36"/>
      <c r="J215" s="36"/>
      <c r="K215" s="36"/>
      <c r="L215" s="36"/>
      <c r="M215" s="37" t="str">
        <f aca="false">IF($J215="","",MATCH($J215,{"08.00";"09.00";"10.00";"11.00";"12.00";"13.00";"14.00";"15.00";"16.00";"17.00"},0))</f>
        <v/>
      </c>
      <c r="N215" s="37" t="str">
        <f aca="false">IF(OR($M215="",$K215=""),"",$M215+$K215-1)</f>
        <v/>
      </c>
      <c r="O215" s="37" t="str">
        <f aca="false">IF($A215&lt;&gt;"Seçildi","",IF(OR($M215="",$N215=""),"",IF($N215&gt;10,"⚠ Saat Taşıyor","")))</f>
        <v/>
      </c>
      <c r="P215" s="37" t="str">
        <f aca="false">IF($A215&lt;&gt;"Seçildi","",IF(OR($G215="",$I215="",$M215=""),"",IF(SUMPRODUCT(($A$7:$A$456="Seçildi")*($G$7:$G$456=$G215)*($I$7:$I$456=$I215)*(ROW($A$7:$A$456)&lt;&gt;215)*($M$7:$M$456&lt;=$N215)*($N$7:$N$456&gt;=$M215))&gt;0,"⚠ Çakışma","OK")))</f>
        <v/>
      </c>
      <c r="Q215" s="37" t="str">
        <f aca="false">IF($A215&lt;&gt;"Seçildi","",IF(OR($L215="",$I215="",$M215=""),"",IF(SUMPRODUCT(($A$7:$A$456="Seçildi")*($L$7:$L$456=$L215)*($I$7:$I$456=$I215)*(ROW($A$7:$A$456)&lt;&gt;215)*($M$7:$M$456&lt;=$N215)*($N$7:$N$456&gt;=$M215))&gt;0,"⚠ Çakışma","OK")))</f>
        <v/>
      </c>
      <c r="R215" s="37" t="str">
        <f aca="false">IF($A215&lt;&gt;"Seçildi","",IF(OR($D215="",$I215="",$M215=""),"",IF(SUMPRODUCT(($A$7:$A$456="Seçildi")*($D$7:$D$456=$D215)*($I$7:$I$456=$I215)*(ROW($A$7:$A$456)&lt;&gt;215)*($M$7:$M$456&lt;=$N215)*($N$7:$N$456&gt;=$M215))&gt;0,"⚠ Çakışma","OK")))</f>
        <v/>
      </c>
      <c r="S215" s="37"/>
      <c r="T215" s="37" t="str">
        <f aca="false">IF(OR($A215&lt;&gt;"Seçildi",AND($I215="",$J215="")),"",IF(OR($O215&lt;&gt;"",$P215="⚠ Çakışma",$Q215="⚠ Çakışma",$R215="⚠ Çakışma"),"⚠ Kontrol Et","✓ Uygun"))</f>
        <v/>
      </c>
    </row>
    <row r="216" customFormat="false" ht="13.5" hidden="false" customHeight="true" outlineLevel="0" collapsed="false">
      <c r="A216" s="37" t="str">
        <f aca="false">'1-Ders Havuzu'!K72</f>
        <v>Seçilmedi</v>
      </c>
      <c r="B216" s="37" t="str">
        <f aca="false">IF($A216="Seçildi",IF('1-Ders Havuzu'!C72="","",'1-Ders Havuzu'!C72),"")</f>
        <v/>
      </c>
      <c r="C216" s="38" t="str">
        <f aca="false">IF($A216="Seçildi",IF('1-Ders Havuzu'!D72="","",'1-Ders Havuzu'!D72),"")</f>
        <v/>
      </c>
      <c r="D216" s="37" t="str">
        <f aca="false">IF($A216="Seçildi",IF('1-Ders Havuzu'!B72="","",'1-Ders Havuzu'!B72),"")</f>
        <v/>
      </c>
      <c r="E216" s="37" t="str">
        <f aca="false">IF($A216="Seçildi",IF('1-Ders Havuzu'!A72="","",'1-Ders Havuzu'!A72),"")</f>
        <v/>
      </c>
      <c r="F216" s="37" t="str">
        <f aca="false">IF($A216="Seçildi",IF('1-Ders Havuzu'!H72="","",'1-Ders Havuzu'!H72),"")</f>
        <v/>
      </c>
      <c r="G216" s="37" t="str">
        <f aca="false">IF($A216="Seçildi",IF('2-Ders-Öğr.Elemanı Eşleştirme'!H72="","",'2-Ders-Öğr.Elemanı Eşleştirme'!H72),"")</f>
        <v/>
      </c>
      <c r="H216" s="39" t="n">
        <v>3</v>
      </c>
      <c r="I216" s="36"/>
      <c r="J216" s="36"/>
      <c r="K216" s="36"/>
      <c r="L216" s="36"/>
      <c r="M216" s="37" t="str">
        <f aca="false">IF($J216="","",MATCH($J216,{"08.00";"09.00";"10.00";"11.00";"12.00";"13.00";"14.00";"15.00";"16.00";"17.00"},0))</f>
        <v/>
      </c>
      <c r="N216" s="37" t="str">
        <f aca="false">IF(OR($M216="",$K216=""),"",$M216+$K216-1)</f>
        <v/>
      </c>
      <c r="O216" s="37" t="str">
        <f aca="false">IF($A216&lt;&gt;"Seçildi","",IF(OR($M216="",$N216=""),"",IF($N216&gt;10,"⚠ Saat Taşıyor","")))</f>
        <v/>
      </c>
      <c r="P216" s="37" t="str">
        <f aca="false">IF($A216&lt;&gt;"Seçildi","",IF(OR($G216="",$I216="",$M216=""),"",IF(SUMPRODUCT(($A$7:$A$456="Seçildi")*($G$7:$G$456=$G216)*($I$7:$I$456=$I216)*(ROW($A$7:$A$456)&lt;&gt;216)*($M$7:$M$456&lt;=$N216)*($N$7:$N$456&gt;=$M216))&gt;0,"⚠ Çakışma","OK")))</f>
        <v/>
      </c>
      <c r="Q216" s="37" t="str">
        <f aca="false">IF($A216&lt;&gt;"Seçildi","",IF(OR($L216="",$I216="",$M216=""),"",IF(SUMPRODUCT(($A$7:$A$456="Seçildi")*($L$7:$L$456=$L216)*($I$7:$I$456=$I216)*(ROW($A$7:$A$456)&lt;&gt;216)*($M$7:$M$456&lt;=$N216)*($N$7:$N$456&gt;=$M216))&gt;0,"⚠ Çakışma","OK")))</f>
        <v/>
      </c>
      <c r="R216" s="37" t="str">
        <f aca="false">IF($A216&lt;&gt;"Seçildi","",IF(OR($D216="",$I216="",$M216=""),"",IF(SUMPRODUCT(($A$7:$A$456="Seçildi")*($D$7:$D$456=$D216)*($I$7:$I$456=$I216)*(ROW($A$7:$A$456)&lt;&gt;216)*($M$7:$M$456&lt;=$N216)*($N$7:$N$456&gt;=$M216))&gt;0,"⚠ Çakışma","OK")))</f>
        <v/>
      </c>
      <c r="S216" s="37"/>
      <c r="T216" s="37" t="str">
        <f aca="false">IF(OR($A216&lt;&gt;"Seçildi",AND($I216="",$J216="")),"",IF(OR($O216&lt;&gt;"",$P216="⚠ Çakışma",$Q216="⚠ Çakışma",$R216="⚠ Çakışma"),"⚠ Kontrol Et","✓ Uygun"))</f>
        <v/>
      </c>
    </row>
    <row r="217" customFormat="false" ht="13.5" hidden="false" customHeight="true" outlineLevel="0" collapsed="false">
      <c r="A217" s="33" t="str">
        <f aca="false">'1-Ders Havuzu'!K73</f>
        <v>Seçilmedi</v>
      </c>
      <c r="B217" s="33" t="str">
        <f aca="false">IF($A217="Seçildi",IF('1-Ders Havuzu'!C73="","",'1-Ders Havuzu'!C73),"")</f>
        <v/>
      </c>
      <c r="C217" s="34" t="str">
        <f aca="false">IF($A217="Seçildi",IF('1-Ders Havuzu'!D73="","",'1-Ders Havuzu'!D73),"")</f>
        <v/>
      </c>
      <c r="D217" s="33" t="str">
        <f aca="false">IF($A217="Seçildi",IF('1-Ders Havuzu'!B73="","",'1-Ders Havuzu'!B73),"")</f>
        <v/>
      </c>
      <c r="E217" s="33" t="str">
        <f aca="false">IF($A217="Seçildi",IF('1-Ders Havuzu'!A73="","",'1-Ders Havuzu'!A73),"")</f>
        <v/>
      </c>
      <c r="F217" s="33" t="str">
        <f aca="false">IF($A217="Seçildi",IF('1-Ders Havuzu'!H73="","",'1-Ders Havuzu'!H73),"")</f>
        <v/>
      </c>
      <c r="G217" s="33" t="str">
        <f aca="false">IF($A217="Seçildi",IF('2-Ders-Öğr.Elemanı Eşleştirme'!H73="","",'2-Ders-Öğr.Elemanı Eşleştirme'!H73),"")</f>
        <v/>
      </c>
      <c r="H217" s="35" t="n">
        <v>1</v>
      </c>
      <c r="I217" s="36"/>
      <c r="J217" s="36"/>
      <c r="K217" s="36"/>
      <c r="L217" s="36"/>
      <c r="M217" s="33" t="str">
        <f aca="false">IF($J217="","",MATCH($J217,{"08.00";"09.00";"10.00";"11.00";"12.00";"13.00";"14.00";"15.00";"16.00";"17.00"},0))</f>
        <v/>
      </c>
      <c r="N217" s="33" t="str">
        <f aca="false">IF(OR($M217="",$K217=""),"",$M217+$K217-1)</f>
        <v/>
      </c>
      <c r="O217" s="33" t="str">
        <f aca="false">IF($A217&lt;&gt;"Seçildi","",IF(OR($M217="",$N217=""),"",IF($N217&gt;10,"⚠ Saat Taşıyor","")))</f>
        <v/>
      </c>
      <c r="P217" s="33" t="str">
        <f aca="false">IF($A217&lt;&gt;"Seçildi","",IF(OR($G217="",$I217="",$M217=""),"",IF(SUMPRODUCT(($A$7:$A$456="Seçildi")*($G$7:$G$456=$G217)*($I$7:$I$456=$I217)*(ROW($A$7:$A$456)&lt;&gt;217)*($M$7:$M$456&lt;=$N217)*($N$7:$N$456&gt;=$M217))&gt;0,"⚠ Çakışma","OK")))</f>
        <v/>
      </c>
      <c r="Q217" s="33" t="str">
        <f aca="false">IF($A217&lt;&gt;"Seçildi","",IF(OR($L217="",$I217="",$M217=""),"",IF(SUMPRODUCT(($A$7:$A$456="Seçildi")*($L$7:$L$456=$L217)*($I$7:$I$456=$I217)*(ROW($A$7:$A$456)&lt;&gt;217)*($M$7:$M$456&lt;=$N217)*($N$7:$N$456&gt;=$M217))&gt;0,"⚠ Çakışma","OK")))</f>
        <v/>
      </c>
      <c r="R217" s="33" t="str">
        <f aca="false">IF($A217&lt;&gt;"Seçildi","",IF(OR($D217="",$I217="",$M217=""),"",IF(SUMPRODUCT(($A$7:$A$456="Seçildi")*($D$7:$D$456=$D217)*($I$7:$I$456=$I217)*(ROW($A$7:$A$456)&lt;&gt;217)*($M$7:$M$456&lt;=$N217)*($N$7:$N$456&gt;=$M217))&gt;0,"⚠ Çakışma","OK")))</f>
        <v/>
      </c>
      <c r="S217" s="33" t="str">
        <f aca="false">IF($A217&lt;&gt;"Seçildi","",IF(SUM($K217,$K218,$K219)&lt;&gt;$F217,"⚠ Dağılım: "&amp;SUM($K217:$K219)&amp;"/"&amp;$F217&amp;" saat","✓ Tamam"))</f>
        <v/>
      </c>
      <c r="T217" s="33" t="str">
        <f aca="false">IF($A217&lt;&gt;"Seçildi","",IF(OR($O217&lt;&gt;"",$P217="⚠ Çakışma",$Q217="⚠ Çakışma",$R217="⚠ Çakışma",LEFT($S217&amp;" ",1)="⚠"),"⚠ Kontrol Et","✓ Uygun"))</f>
        <v/>
      </c>
    </row>
    <row r="218" customFormat="false" ht="13.5" hidden="false" customHeight="true" outlineLevel="0" collapsed="false">
      <c r="A218" s="33" t="str">
        <f aca="false">'1-Ders Havuzu'!K73</f>
        <v>Seçilmedi</v>
      </c>
      <c r="B218" s="33" t="str">
        <f aca="false">IF($A218="Seçildi",IF('1-Ders Havuzu'!C73="","",'1-Ders Havuzu'!C73),"")</f>
        <v/>
      </c>
      <c r="C218" s="34" t="str">
        <f aca="false">IF($A218="Seçildi",IF('1-Ders Havuzu'!D73="","",'1-Ders Havuzu'!D73),"")</f>
        <v/>
      </c>
      <c r="D218" s="33" t="str">
        <f aca="false">IF($A218="Seçildi",IF('1-Ders Havuzu'!B73="","",'1-Ders Havuzu'!B73),"")</f>
        <v/>
      </c>
      <c r="E218" s="33" t="str">
        <f aca="false">IF($A218="Seçildi",IF('1-Ders Havuzu'!A73="","",'1-Ders Havuzu'!A73),"")</f>
        <v/>
      </c>
      <c r="F218" s="33" t="str">
        <f aca="false">IF($A218="Seçildi",IF('1-Ders Havuzu'!H73="","",'1-Ders Havuzu'!H73),"")</f>
        <v/>
      </c>
      <c r="G218" s="33" t="str">
        <f aca="false">IF($A218="Seçildi",IF('2-Ders-Öğr.Elemanı Eşleştirme'!H73="","",'2-Ders-Öğr.Elemanı Eşleştirme'!H73),"")</f>
        <v/>
      </c>
      <c r="H218" s="35" t="n">
        <v>2</v>
      </c>
      <c r="I218" s="36"/>
      <c r="J218" s="36"/>
      <c r="K218" s="36"/>
      <c r="L218" s="36"/>
      <c r="M218" s="33" t="str">
        <f aca="false">IF($J218="","",MATCH($J218,{"08.00";"09.00";"10.00";"11.00";"12.00";"13.00";"14.00";"15.00";"16.00";"17.00"},0))</f>
        <v/>
      </c>
      <c r="N218" s="33" t="str">
        <f aca="false">IF(OR($M218="",$K218=""),"",$M218+$K218-1)</f>
        <v/>
      </c>
      <c r="O218" s="33" t="str">
        <f aca="false">IF($A218&lt;&gt;"Seçildi","",IF(OR($M218="",$N218=""),"",IF($N218&gt;10,"⚠ Saat Taşıyor","")))</f>
        <v/>
      </c>
      <c r="P218" s="33" t="str">
        <f aca="false">IF($A218&lt;&gt;"Seçildi","",IF(OR($G218="",$I218="",$M218=""),"",IF(SUMPRODUCT(($A$7:$A$456="Seçildi")*($G$7:$G$456=$G218)*($I$7:$I$456=$I218)*(ROW($A$7:$A$456)&lt;&gt;218)*($M$7:$M$456&lt;=$N218)*($N$7:$N$456&gt;=$M218))&gt;0,"⚠ Çakışma","OK")))</f>
        <v/>
      </c>
      <c r="Q218" s="33" t="str">
        <f aca="false">IF($A218&lt;&gt;"Seçildi","",IF(OR($L218="",$I218="",$M218=""),"",IF(SUMPRODUCT(($A$7:$A$456="Seçildi")*($L$7:$L$456=$L218)*($I$7:$I$456=$I218)*(ROW($A$7:$A$456)&lt;&gt;218)*($M$7:$M$456&lt;=$N218)*($N$7:$N$456&gt;=$M218))&gt;0,"⚠ Çakışma","OK")))</f>
        <v/>
      </c>
      <c r="R218" s="33" t="str">
        <f aca="false">IF($A218&lt;&gt;"Seçildi","",IF(OR($D218="",$I218="",$M218=""),"",IF(SUMPRODUCT(($A$7:$A$456="Seçildi")*($D$7:$D$456=$D218)*($I$7:$I$456=$I218)*(ROW($A$7:$A$456)&lt;&gt;218)*($M$7:$M$456&lt;=$N218)*($N$7:$N$456&gt;=$M218))&gt;0,"⚠ Çakışma","OK")))</f>
        <v/>
      </c>
      <c r="S218" s="33"/>
      <c r="T218" s="33" t="str">
        <f aca="false">IF(OR($A218&lt;&gt;"Seçildi",AND($I218="",$J218="")),"",IF(OR($O218&lt;&gt;"",$P218="⚠ Çakışma",$Q218="⚠ Çakışma",$R218="⚠ Çakışma"),"⚠ Kontrol Et","✓ Uygun"))</f>
        <v/>
      </c>
    </row>
    <row r="219" customFormat="false" ht="13.5" hidden="false" customHeight="true" outlineLevel="0" collapsed="false">
      <c r="A219" s="33" t="str">
        <f aca="false">'1-Ders Havuzu'!K73</f>
        <v>Seçilmedi</v>
      </c>
      <c r="B219" s="33" t="str">
        <f aca="false">IF($A219="Seçildi",IF('1-Ders Havuzu'!C73="","",'1-Ders Havuzu'!C73),"")</f>
        <v/>
      </c>
      <c r="C219" s="34" t="str">
        <f aca="false">IF($A219="Seçildi",IF('1-Ders Havuzu'!D73="","",'1-Ders Havuzu'!D73),"")</f>
        <v/>
      </c>
      <c r="D219" s="33" t="str">
        <f aca="false">IF($A219="Seçildi",IF('1-Ders Havuzu'!B73="","",'1-Ders Havuzu'!B73),"")</f>
        <v/>
      </c>
      <c r="E219" s="33" t="str">
        <f aca="false">IF($A219="Seçildi",IF('1-Ders Havuzu'!A73="","",'1-Ders Havuzu'!A73),"")</f>
        <v/>
      </c>
      <c r="F219" s="33" t="str">
        <f aca="false">IF($A219="Seçildi",IF('1-Ders Havuzu'!H73="","",'1-Ders Havuzu'!H73),"")</f>
        <v/>
      </c>
      <c r="G219" s="33" t="str">
        <f aca="false">IF($A219="Seçildi",IF('2-Ders-Öğr.Elemanı Eşleştirme'!H73="","",'2-Ders-Öğr.Elemanı Eşleştirme'!H73),"")</f>
        <v/>
      </c>
      <c r="H219" s="35" t="n">
        <v>3</v>
      </c>
      <c r="I219" s="36"/>
      <c r="J219" s="36"/>
      <c r="K219" s="36"/>
      <c r="L219" s="36"/>
      <c r="M219" s="33" t="str">
        <f aca="false">IF($J219="","",MATCH($J219,{"08.00";"09.00";"10.00";"11.00";"12.00";"13.00";"14.00";"15.00";"16.00";"17.00"},0))</f>
        <v/>
      </c>
      <c r="N219" s="33" t="str">
        <f aca="false">IF(OR($M219="",$K219=""),"",$M219+$K219-1)</f>
        <v/>
      </c>
      <c r="O219" s="33" t="str">
        <f aca="false">IF($A219&lt;&gt;"Seçildi","",IF(OR($M219="",$N219=""),"",IF($N219&gt;10,"⚠ Saat Taşıyor","")))</f>
        <v/>
      </c>
      <c r="P219" s="33" t="str">
        <f aca="false">IF($A219&lt;&gt;"Seçildi","",IF(OR($G219="",$I219="",$M219=""),"",IF(SUMPRODUCT(($A$7:$A$456="Seçildi")*($G$7:$G$456=$G219)*($I$7:$I$456=$I219)*(ROW($A$7:$A$456)&lt;&gt;219)*($M$7:$M$456&lt;=$N219)*($N$7:$N$456&gt;=$M219))&gt;0,"⚠ Çakışma","OK")))</f>
        <v/>
      </c>
      <c r="Q219" s="33" t="str">
        <f aca="false">IF($A219&lt;&gt;"Seçildi","",IF(OR($L219="",$I219="",$M219=""),"",IF(SUMPRODUCT(($A$7:$A$456="Seçildi")*($L$7:$L$456=$L219)*($I$7:$I$456=$I219)*(ROW($A$7:$A$456)&lt;&gt;219)*($M$7:$M$456&lt;=$N219)*($N$7:$N$456&gt;=$M219))&gt;0,"⚠ Çakışma","OK")))</f>
        <v/>
      </c>
      <c r="R219" s="33" t="str">
        <f aca="false">IF($A219&lt;&gt;"Seçildi","",IF(OR($D219="",$I219="",$M219=""),"",IF(SUMPRODUCT(($A$7:$A$456="Seçildi")*($D$7:$D$456=$D219)*($I$7:$I$456=$I219)*(ROW($A$7:$A$456)&lt;&gt;219)*($M$7:$M$456&lt;=$N219)*($N$7:$N$456&gt;=$M219))&gt;0,"⚠ Çakışma","OK")))</f>
        <v/>
      </c>
      <c r="S219" s="33"/>
      <c r="T219" s="33" t="str">
        <f aca="false">IF(OR($A219&lt;&gt;"Seçildi",AND($I219="",$J219="")),"",IF(OR($O219&lt;&gt;"",$P219="⚠ Çakışma",$Q219="⚠ Çakışma",$R219="⚠ Çakışma"),"⚠ Kontrol Et","✓ Uygun"))</f>
        <v/>
      </c>
    </row>
    <row r="220" customFormat="false" ht="13.5" hidden="false" customHeight="true" outlineLevel="0" collapsed="false">
      <c r="A220" s="37" t="str">
        <f aca="false">'1-Ders Havuzu'!K74</f>
        <v>Seçilmedi</v>
      </c>
      <c r="B220" s="37" t="str">
        <f aca="false">IF($A220="Seçildi",IF('1-Ders Havuzu'!C74="","",'1-Ders Havuzu'!C74),"")</f>
        <v/>
      </c>
      <c r="C220" s="38" t="str">
        <f aca="false">IF($A220="Seçildi",IF('1-Ders Havuzu'!D74="","",'1-Ders Havuzu'!D74),"")</f>
        <v/>
      </c>
      <c r="D220" s="37" t="str">
        <f aca="false">IF($A220="Seçildi",IF('1-Ders Havuzu'!B74="","",'1-Ders Havuzu'!B74),"")</f>
        <v/>
      </c>
      <c r="E220" s="37" t="str">
        <f aca="false">IF($A220="Seçildi",IF('1-Ders Havuzu'!A74="","",'1-Ders Havuzu'!A74),"")</f>
        <v/>
      </c>
      <c r="F220" s="37" t="str">
        <f aca="false">IF($A220="Seçildi",IF('1-Ders Havuzu'!H74="","",'1-Ders Havuzu'!H74),"")</f>
        <v/>
      </c>
      <c r="G220" s="37" t="str">
        <f aca="false">IF($A220="Seçildi",IF('2-Ders-Öğr.Elemanı Eşleştirme'!H74="","",'2-Ders-Öğr.Elemanı Eşleştirme'!H74),"")</f>
        <v/>
      </c>
      <c r="H220" s="39" t="n">
        <v>1</v>
      </c>
      <c r="I220" s="36"/>
      <c r="J220" s="36"/>
      <c r="K220" s="36"/>
      <c r="L220" s="36"/>
      <c r="M220" s="37" t="str">
        <f aca="false">IF($J220="","",MATCH($J220,{"08.00";"09.00";"10.00";"11.00";"12.00";"13.00";"14.00";"15.00";"16.00";"17.00"},0))</f>
        <v/>
      </c>
      <c r="N220" s="37" t="str">
        <f aca="false">IF(OR($M220="",$K220=""),"",$M220+$K220-1)</f>
        <v/>
      </c>
      <c r="O220" s="37" t="str">
        <f aca="false">IF($A220&lt;&gt;"Seçildi","",IF(OR($M220="",$N220=""),"",IF($N220&gt;10,"⚠ Saat Taşıyor","")))</f>
        <v/>
      </c>
      <c r="P220" s="37" t="str">
        <f aca="false">IF($A220&lt;&gt;"Seçildi","",IF(OR($G220="",$I220="",$M220=""),"",IF(SUMPRODUCT(($A$7:$A$456="Seçildi")*($G$7:$G$456=$G220)*($I$7:$I$456=$I220)*(ROW($A$7:$A$456)&lt;&gt;220)*($M$7:$M$456&lt;=$N220)*($N$7:$N$456&gt;=$M220))&gt;0,"⚠ Çakışma","OK")))</f>
        <v/>
      </c>
      <c r="Q220" s="37" t="str">
        <f aca="false">IF($A220&lt;&gt;"Seçildi","",IF(OR($L220="",$I220="",$M220=""),"",IF(SUMPRODUCT(($A$7:$A$456="Seçildi")*($L$7:$L$456=$L220)*($I$7:$I$456=$I220)*(ROW($A$7:$A$456)&lt;&gt;220)*($M$7:$M$456&lt;=$N220)*($N$7:$N$456&gt;=$M220))&gt;0,"⚠ Çakışma","OK")))</f>
        <v/>
      </c>
      <c r="R220" s="37" t="str">
        <f aca="false">IF($A220&lt;&gt;"Seçildi","",IF(OR($D220="",$I220="",$M220=""),"",IF(SUMPRODUCT(($A$7:$A$456="Seçildi")*($D$7:$D$456=$D220)*($I$7:$I$456=$I220)*(ROW($A$7:$A$456)&lt;&gt;220)*($M$7:$M$456&lt;=$N220)*($N$7:$N$456&gt;=$M220))&gt;0,"⚠ Çakışma","OK")))</f>
        <v/>
      </c>
      <c r="S220" s="37" t="str">
        <f aca="false">IF($A220&lt;&gt;"Seçildi","",IF(SUM($K220,$K221,$K222)&lt;&gt;$F220,"⚠ Dağılım: "&amp;SUM($K220:$K222)&amp;"/"&amp;$F220&amp;" saat","✓ Tamam"))</f>
        <v/>
      </c>
      <c r="T220" s="37" t="str">
        <f aca="false">IF($A220&lt;&gt;"Seçildi","",IF(OR($O220&lt;&gt;"",$P220="⚠ Çakışma",$Q220="⚠ Çakışma",$R220="⚠ Çakışma",LEFT($S220&amp;" ",1)="⚠"),"⚠ Kontrol Et","✓ Uygun"))</f>
        <v/>
      </c>
    </row>
    <row r="221" customFormat="false" ht="13.5" hidden="false" customHeight="true" outlineLevel="0" collapsed="false">
      <c r="A221" s="37" t="str">
        <f aca="false">'1-Ders Havuzu'!K74</f>
        <v>Seçilmedi</v>
      </c>
      <c r="B221" s="37" t="str">
        <f aca="false">IF($A221="Seçildi",IF('1-Ders Havuzu'!C74="","",'1-Ders Havuzu'!C74),"")</f>
        <v/>
      </c>
      <c r="C221" s="38" t="str">
        <f aca="false">IF($A221="Seçildi",IF('1-Ders Havuzu'!D74="","",'1-Ders Havuzu'!D74),"")</f>
        <v/>
      </c>
      <c r="D221" s="37" t="str">
        <f aca="false">IF($A221="Seçildi",IF('1-Ders Havuzu'!B74="","",'1-Ders Havuzu'!B74),"")</f>
        <v/>
      </c>
      <c r="E221" s="37" t="str">
        <f aca="false">IF($A221="Seçildi",IF('1-Ders Havuzu'!A74="","",'1-Ders Havuzu'!A74),"")</f>
        <v/>
      </c>
      <c r="F221" s="37" t="str">
        <f aca="false">IF($A221="Seçildi",IF('1-Ders Havuzu'!H74="","",'1-Ders Havuzu'!H74),"")</f>
        <v/>
      </c>
      <c r="G221" s="37" t="str">
        <f aca="false">IF($A221="Seçildi",IF('2-Ders-Öğr.Elemanı Eşleştirme'!H74="","",'2-Ders-Öğr.Elemanı Eşleştirme'!H74),"")</f>
        <v/>
      </c>
      <c r="H221" s="39" t="n">
        <v>2</v>
      </c>
      <c r="I221" s="36"/>
      <c r="J221" s="36"/>
      <c r="K221" s="36"/>
      <c r="L221" s="36"/>
      <c r="M221" s="37" t="str">
        <f aca="false">IF($J221="","",MATCH($J221,{"08.00";"09.00";"10.00";"11.00";"12.00";"13.00";"14.00";"15.00";"16.00";"17.00"},0))</f>
        <v/>
      </c>
      <c r="N221" s="37" t="str">
        <f aca="false">IF(OR($M221="",$K221=""),"",$M221+$K221-1)</f>
        <v/>
      </c>
      <c r="O221" s="37" t="str">
        <f aca="false">IF($A221&lt;&gt;"Seçildi","",IF(OR($M221="",$N221=""),"",IF($N221&gt;10,"⚠ Saat Taşıyor","")))</f>
        <v/>
      </c>
      <c r="P221" s="37" t="str">
        <f aca="false">IF($A221&lt;&gt;"Seçildi","",IF(OR($G221="",$I221="",$M221=""),"",IF(SUMPRODUCT(($A$7:$A$456="Seçildi")*($G$7:$G$456=$G221)*($I$7:$I$456=$I221)*(ROW($A$7:$A$456)&lt;&gt;221)*($M$7:$M$456&lt;=$N221)*($N$7:$N$456&gt;=$M221))&gt;0,"⚠ Çakışma","OK")))</f>
        <v/>
      </c>
      <c r="Q221" s="37" t="str">
        <f aca="false">IF($A221&lt;&gt;"Seçildi","",IF(OR($L221="",$I221="",$M221=""),"",IF(SUMPRODUCT(($A$7:$A$456="Seçildi")*($L$7:$L$456=$L221)*($I$7:$I$456=$I221)*(ROW($A$7:$A$456)&lt;&gt;221)*($M$7:$M$456&lt;=$N221)*($N$7:$N$456&gt;=$M221))&gt;0,"⚠ Çakışma","OK")))</f>
        <v/>
      </c>
      <c r="R221" s="37" t="str">
        <f aca="false">IF($A221&lt;&gt;"Seçildi","",IF(OR($D221="",$I221="",$M221=""),"",IF(SUMPRODUCT(($A$7:$A$456="Seçildi")*($D$7:$D$456=$D221)*($I$7:$I$456=$I221)*(ROW($A$7:$A$456)&lt;&gt;221)*($M$7:$M$456&lt;=$N221)*($N$7:$N$456&gt;=$M221))&gt;0,"⚠ Çakışma","OK")))</f>
        <v/>
      </c>
      <c r="S221" s="37"/>
      <c r="T221" s="37" t="str">
        <f aca="false">IF(OR($A221&lt;&gt;"Seçildi",AND($I221="",$J221="")),"",IF(OR($O221&lt;&gt;"",$P221="⚠ Çakışma",$Q221="⚠ Çakışma",$R221="⚠ Çakışma"),"⚠ Kontrol Et","✓ Uygun"))</f>
        <v/>
      </c>
    </row>
    <row r="222" customFormat="false" ht="13.5" hidden="false" customHeight="true" outlineLevel="0" collapsed="false">
      <c r="A222" s="37" t="str">
        <f aca="false">'1-Ders Havuzu'!K74</f>
        <v>Seçilmedi</v>
      </c>
      <c r="B222" s="37" t="str">
        <f aca="false">IF($A222="Seçildi",IF('1-Ders Havuzu'!C74="","",'1-Ders Havuzu'!C74),"")</f>
        <v/>
      </c>
      <c r="C222" s="38" t="str">
        <f aca="false">IF($A222="Seçildi",IF('1-Ders Havuzu'!D74="","",'1-Ders Havuzu'!D74),"")</f>
        <v/>
      </c>
      <c r="D222" s="37" t="str">
        <f aca="false">IF($A222="Seçildi",IF('1-Ders Havuzu'!B74="","",'1-Ders Havuzu'!B74),"")</f>
        <v/>
      </c>
      <c r="E222" s="37" t="str">
        <f aca="false">IF($A222="Seçildi",IF('1-Ders Havuzu'!A74="","",'1-Ders Havuzu'!A74),"")</f>
        <v/>
      </c>
      <c r="F222" s="37" t="str">
        <f aca="false">IF($A222="Seçildi",IF('1-Ders Havuzu'!H74="","",'1-Ders Havuzu'!H74),"")</f>
        <v/>
      </c>
      <c r="G222" s="37" t="str">
        <f aca="false">IF($A222="Seçildi",IF('2-Ders-Öğr.Elemanı Eşleştirme'!H74="","",'2-Ders-Öğr.Elemanı Eşleştirme'!H74),"")</f>
        <v/>
      </c>
      <c r="H222" s="39" t="n">
        <v>3</v>
      </c>
      <c r="I222" s="36"/>
      <c r="J222" s="36"/>
      <c r="K222" s="36"/>
      <c r="L222" s="36"/>
      <c r="M222" s="37" t="str">
        <f aca="false">IF($J222="","",MATCH($J222,{"08.00";"09.00";"10.00";"11.00";"12.00";"13.00";"14.00";"15.00";"16.00";"17.00"},0))</f>
        <v/>
      </c>
      <c r="N222" s="37" t="str">
        <f aca="false">IF(OR($M222="",$K222=""),"",$M222+$K222-1)</f>
        <v/>
      </c>
      <c r="O222" s="37" t="str">
        <f aca="false">IF($A222&lt;&gt;"Seçildi","",IF(OR($M222="",$N222=""),"",IF($N222&gt;10,"⚠ Saat Taşıyor","")))</f>
        <v/>
      </c>
      <c r="P222" s="37" t="str">
        <f aca="false">IF($A222&lt;&gt;"Seçildi","",IF(OR($G222="",$I222="",$M222=""),"",IF(SUMPRODUCT(($A$7:$A$456="Seçildi")*($G$7:$G$456=$G222)*($I$7:$I$456=$I222)*(ROW($A$7:$A$456)&lt;&gt;222)*($M$7:$M$456&lt;=$N222)*($N$7:$N$456&gt;=$M222))&gt;0,"⚠ Çakışma","OK")))</f>
        <v/>
      </c>
      <c r="Q222" s="37" t="str">
        <f aca="false">IF($A222&lt;&gt;"Seçildi","",IF(OR($L222="",$I222="",$M222=""),"",IF(SUMPRODUCT(($A$7:$A$456="Seçildi")*($L$7:$L$456=$L222)*($I$7:$I$456=$I222)*(ROW($A$7:$A$456)&lt;&gt;222)*($M$7:$M$456&lt;=$N222)*($N$7:$N$456&gt;=$M222))&gt;0,"⚠ Çakışma","OK")))</f>
        <v/>
      </c>
      <c r="R222" s="37" t="str">
        <f aca="false">IF($A222&lt;&gt;"Seçildi","",IF(OR($D222="",$I222="",$M222=""),"",IF(SUMPRODUCT(($A$7:$A$456="Seçildi")*($D$7:$D$456=$D222)*($I$7:$I$456=$I222)*(ROW($A$7:$A$456)&lt;&gt;222)*($M$7:$M$456&lt;=$N222)*($N$7:$N$456&gt;=$M222))&gt;0,"⚠ Çakışma","OK")))</f>
        <v/>
      </c>
      <c r="S222" s="37"/>
      <c r="T222" s="37" t="str">
        <f aca="false">IF(OR($A222&lt;&gt;"Seçildi",AND($I222="",$J222="")),"",IF(OR($O222&lt;&gt;"",$P222="⚠ Çakışma",$Q222="⚠ Çakışma",$R222="⚠ Çakışma"),"⚠ Kontrol Et","✓ Uygun"))</f>
        <v/>
      </c>
    </row>
    <row r="223" customFormat="false" ht="13.5" hidden="false" customHeight="true" outlineLevel="0" collapsed="false">
      <c r="A223" s="33" t="str">
        <f aca="false">'1-Ders Havuzu'!K75</f>
        <v>Seçilmedi</v>
      </c>
      <c r="B223" s="33" t="str">
        <f aca="false">IF($A223="Seçildi",IF('1-Ders Havuzu'!C75="","",'1-Ders Havuzu'!C75),"")</f>
        <v/>
      </c>
      <c r="C223" s="34" t="str">
        <f aca="false">IF($A223="Seçildi",IF('1-Ders Havuzu'!D75="","",'1-Ders Havuzu'!D75),"")</f>
        <v/>
      </c>
      <c r="D223" s="33" t="str">
        <f aca="false">IF($A223="Seçildi",IF('1-Ders Havuzu'!B75="","",'1-Ders Havuzu'!B75),"")</f>
        <v/>
      </c>
      <c r="E223" s="33" t="str">
        <f aca="false">IF($A223="Seçildi",IF('1-Ders Havuzu'!A75="","",'1-Ders Havuzu'!A75),"")</f>
        <v/>
      </c>
      <c r="F223" s="33" t="str">
        <f aca="false">IF($A223="Seçildi",IF('1-Ders Havuzu'!H75="","",'1-Ders Havuzu'!H75),"")</f>
        <v/>
      </c>
      <c r="G223" s="33" t="str">
        <f aca="false">IF($A223="Seçildi",IF('2-Ders-Öğr.Elemanı Eşleştirme'!H75="","",'2-Ders-Öğr.Elemanı Eşleştirme'!H75),"")</f>
        <v/>
      </c>
      <c r="H223" s="35" t="n">
        <v>1</v>
      </c>
      <c r="I223" s="36"/>
      <c r="J223" s="36"/>
      <c r="K223" s="36"/>
      <c r="L223" s="36"/>
      <c r="M223" s="33" t="str">
        <f aca="false">IF($J223="","",MATCH($J223,{"08.00";"09.00";"10.00";"11.00";"12.00";"13.00";"14.00";"15.00";"16.00";"17.00"},0))</f>
        <v/>
      </c>
      <c r="N223" s="33" t="str">
        <f aca="false">IF(OR($M223="",$K223=""),"",$M223+$K223-1)</f>
        <v/>
      </c>
      <c r="O223" s="33" t="str">
        <f aca="false">IF($A223&lt;&gt;"Seçildi","",IF(OR($M223="",$N223=""),"",IF($N223&gt;10,"⚠ Saat Taşıyor","")))</f>
        <v/>
      </c>
      <c r="P223" s="33" t="str">
        <f aca="false">IF($A223&lt;&gt;"Seçildi","",IF(OR($G223="",$I223="",$M223=""),"",IF(SUMPRODUCT(($A$7:$A$456="Seçildi")*($G$7:$G$456=$G223)*($I$7:$I$456=$I223)*(ROW($A$7:$A$456)&lt;&gt;223)*($M$7:$M$456&lt;=$N223)*($N$7:$N$456&gt;=$M223))&gt;0,"⚠ Çakışma","OK")))</f>
        <v/>
      </c>
      <c r="Q223" s="33" t="str">
        <f aca="false">IF($A223&lt;&gt;"Seçildi","",IF(OR($L223="",$I223="",$M223=""),"",IF(SUMPRODUCT(($A$7:$A$456="Seçildi")*($L$7:$L$456=$L223)*($I$7:$I$456=$I223)*(ROW($A$7:$A$456)&lt;&gt;223)*($M$7:$M$456&lt;=$N223)*($N$7:$N$456&gt;=$M223))&gt;0,"⚠ Çakışma","OK")))</f>
        <v/>
      </c>
      <c r="R223" s="33" t="str">
        <f aca="false">IF($A223&lt;&gt;"Seçildi","",IF(OR($D223="",$I223="",$M223=""),"",IF(SUMPRODUCT(($A$7:$A$456="Seçildi")*($D$7:$D$456=$D223)*($I$7:$I$456=$I223)*(ROW($A$7:$A$456)&lt;&gt;223)*($M$7:$M$456&lt;=$N223)*($N$7:$N$456&gt;=$M223))&gt;0,"⚠ Çakışma","OK")))</f>
        <v/>
      </c>
      <c r="S223" s="33" t="str">
        <f aca="false">IF($A223&lt;&gt;"Seçildi","",IF(SUM($K223,$K224,$K225)&lt;&gt;$F223,"⚠ Dağılım: "&amp;SUM($K223:$K225)&amp;"/"&amp;$F223&amp;" saat","✓ Tamam"))</f>
        <v/>
      </c>
      <c r="T223" s="33" t="str">
        <f aca="false">IF($A223&lt;&gt;"Seçildi","",IF(OR($O223&lt;&gt;"",$P223="⚠ Çakışma",$Q223="⚠ Çakışma",$R223="⚠ Çakışma",LEFT($S223&amp;" ",1)="⚠"),"⚠ Kontrol Et","✓ Uygun"))</f>
        <v/>
      </c>
    </row>
    <row r="224" customFormat="false" ht="13.5" hidden="false" customHeight="true" outlineLevel="0" collapsed="false">
      <c r="A224" s="33" t="str">
        <f aca="false">'1-Ders Havuzu'!K75</f>
        <v>Seçilmedi</v>
      </c>
      <c r="B224" s="33" t="str">
        <f aca="false">IF($A224="Seçildi",IF('1-Ders Havuzu'!C75="","",'1-Ders Havuzu'!C75),"")</f>
        <v/>
      </c>
      <c r="C224" s="34" t="str">
        <f aca="false">IF($A224="Seçildi",IF('1-Ders Havuzu'!D75="","",'1-Ders Havuzu'!D75),"")</f>
        <v/>
      </c>
      <c r="D224" s="33" t="str">
        <f aca="false">IF($A224="Seçildi",IF('1-Ders Havuzu'!B75="","",'1-Ders Havuzu'!B75),"")</f>
        <v/>
      </c>
      <c r="E224" s="33" t="str">
        <f aca="false">IF($A224="Seçildi",IF('1-Ders Havuzu'!A75="","",'1-Ders Havuzu'!A75),"")</f>
        <v/>
      </c>
      <c r="F224" s="33" t="str">
        <f aca="false">IF($A224="Seçildi",IF('1-Ders Havuzu'!H75="","",'1-Ders Havuzu'!H75),"")</f>
        <v/>
      </c>
      <c r="G224" s="33" t="str">
        <f aca="false">IF($A224="Seçildi",IF('2-Ders-Öğr.Elemanı Eşleştirme'!H75="","",'2-Ders-Öğr.Elemanı Eşleştirme'!H75),"")</f>
        <v/>
      </c>
      <c r="H224" s="35" t="n">
        <v>2</v>
      </c>
      <c r="I224" s="36"/>
      <c r="J224" s="36"/>
      <c r="K224" s="36"/>
      <c r="L224" s="36"/>
      <c r="M224" s="33" t="str">
        <f aca="false">IF($J224="","",MATCH($J224,{"08.00";"09.00";"10.00";"11.00";"12.00";"13.00";"14.00";"15.00";"16.00";"17.00"},0))</f>
        <v/>
      </c>
      <c r="N224" s="33" t="str">
        <f aca="false">IF(OR($M224="",$K224=""),"",$M224+$K224-1)</f>
        <v/>
      </c>
      <c r="O224" s="33" t="str">
        <f aca="false">IF($A224&lt;&gt;"Seçildi","",IF(OR($M224="",$N224=""),"",IF($N224&gt;10,"⚠ Saat Taşıyor","")))</f>
        <v/>
      </c>
      <c r="P224" s="33" t="str">
        <f aca="false">IF($A224&lt;&gt;"Seçildi","",IF(OR($G224="",$I224="",$M224=""),"",IF(SUMPRODUCT(($A$7:$A$456="Seçildi")*($G$7:$G$456=$G224)*($I$7:$I$456=$I224)*(ROW($A$7:$A$456)&lt;&gt;224)*($M$7:$M$456&lt;=$N224)*($N$7:$N$456&gt;=$M224))&gt;0,"⚠ Çakışma","OK")))</f>
        <v/>
      </c>
      <c r="Q224" s="33" t="str">
        <f aca="false">IF($A224&lt;&gt;"Seçildi","",IF(OR($L224="",$I224="",$M224=""),"",IF(SUMPRODUCT(($A$7:$A$456="Seçildi")*($L$7:$L$456=$L224)*($I$7:$I$456=$I224)*(ROW($A$7:$A$456)&lt;&gt;224)*($M$7:$M$456&lt;=$N224)*($N$7:$N$456&gt;=$M224))&gt;0,"⚠ Çakışma","OK")))</f>
        <v/>
      </c>
      <c r="R224" s="33" t="str">
        <f aca="false">IF($A224&lt;&gt;"Seçildi","",IF(OR($D224="",$I224="",$M224=""),"",IF(SUMPRODUCT(($A$7:$A$456="Seçildi")*($D$7:$D$456=$D224)*($I$7:$I$456=$I224)*(ROW($A$7:$A$456)&lt;&gt;224)*($M$7:$M$456&lt;=$N224)*($N$7:$N$456&gt;=$M224))&gt;0,"⚠ Çakışma","OK")))</f>
        <v/>
      </c>
      <c r="S224" s="33"/>
      <c r="T224" s="33" t="str">
        <f aca="false">IF(OR($A224&lt;&gt;"Seçildi",AND($I224="",$J224="")),"",IF(OR($O224&lt;&gt;"",$P224="⚠ Çakışma",$Q224="⚠ Çakışma",$R224="⚠ Çakışma"),"⚠ Kontrol Et","✓ Uygun"))</f>
        <v/>
      </c>
    </row>
    <row r="225" customFormat="false" ht="13.5" hidden="false" customHeight="true" outlineLevel="0" collapsed="false">
      <c r="A225" s="33" t="str">
        <f aca="false">'1-Ders Havuzu'!K75</f>
        <v>Seçilmedi</v>
      </c>
      <c r="B225" s="33" t="str">
        <f aca="false">IF($A225="Seçildi",IF('1-Ders Havuzu'!C75="","",'1-Ders Havuzu'!C75),"")</f>
        <v/>
      </c>
      <c r="C225" s="34" t="str">
        <f aca="false">IF($A225="Seçildi",IF('1-Ders Havuzu'!D75="","",'1-Ders Havuzu'!D75),"")</f>
        <v/>
      </c>
      <c r="D225" s="33" t="str">
        <f aca="false">IF($A225="Seçildi",IF('1-Ders Havuzu'!B75="","",'1-Ders Havuzu'!B75),"")</f>
        <v/>
      </c>
      <c r="E225" s="33" t="str">
        <f aca="false">IF($A225="Seçildi",IF('1-Ders Havuzu'!A75="","",'1-Ders Havuzu'!A75),"")</f>
        <v/>
      </c>
      <c r="F225" s="33" t="str">
        <f aca="false">IF($A225="Seçildi",IF('1-Ders Havuzu'!H75="","",'1-Ders Havuzu'!H75),"")</f>
        <v/>
      </c>
      <c r="G225" s="33" t="str">
        <f aca="false">IF($A225="Seçildi",IF('2-Ders-Öğr.Elemanı Eşleştirme'!H75="","",'2-Ders-Öğr.Elemanı Eşleştirme'!H75),"")</f>
        <v/>
      </c>
      <c r="H225" s="35" t="n">
        <v>3</v>
      </c>
      <c r="I225" s="36"/>
      <c r="J225" s="36"/>
      <c r="K225" s="36"/>
      <c r="L225" s="36"/>
      <c r="M225" s="33" t="str">
        <f aca="false">IF($J225="","",MATCH($J225,{"08.00";"09.00";"10.00";"11.00";"12.00";"13.00";"14.00";"15.00";"16.00";"17.00"},0))</f>
        <v/>
      </c>
      <c r="N225" s="33" t="str">
        <f aca="false">IF(OR($M225="",$K225=""),"",$M225+$K225-1)</f>
        <v/>
      </c>
      <c r="O225" s="33" t="str">
        <f aca="false">IF($A225&lt;&gt;"Seçildi","",IF(OR($M225="",$N225=""),"",IF($N225&gt;10,"⚠ Saat Taşıyor","")))</f>
        <v/>
      </c>
      <c r="P225" s="33" t="str">
        <f aca="false">IF($A225&lt;&gt;"Seçildi","",IF(OR($G225="",$I225="",$M225=""),"",IF(SUMPRODUCT(($A$7:$A$456="Seçildi")*($G$7:$G$456=$G225)*($I$7:$I$456=$I225)*(ROW($A$7:$A$456)&lt;&gt;225)*($M$7:$M$456&lt;=$N225)*($N$7:$N$456&gt;=$M225))&gt;0,"⚠ Çakışma","OK")))</f>
        <v/>
      </c>
      <c r="Q225" s="33" t="str">
        <f aca="false">IF($A225&lt;&gt;"Seçildi","",IF(OR($L225="",$I225="",$M225=""),"",IF(SUMPRODUCT(($A$7:$A$456="Seçildi")*($L$7:$L$456=$L225)*($I$7:$I$456=$I225)*(ROW($A$7:$A$456)&lt;&gt;225)*($M$7:$M$456&lt;=$N225)*($N$7:$N$456&gt;=$M225))&gt;0,"⚠ Çakışma","OK")))</f>
        <v/>
      </c>
      <c r="R225" s="33" t="str">
        <f aca="false">IF($A225&lt;&gt;"Seçildi","",IF(OR($D225="",$I225="",$M225=""),"",IF(SUMPRODUCT(($A$7:$A$456="Seçildi")*($D$7:$D$456=$D225)*($I$7:$I$456=$I225)*(ROW($A$7:$A$456)&lt;&gt;225)*($M$7:$M$456&lt;=$N225)*($N$7:$N$456&gt;=$M225))&gt;0,"⚠ Çakışma","OK")))</f>
        <v/>
      </c>
      <c r="S225" s="33"/>
      <c r="T225" s="33" t="str">
        <f aca="false">IF(OR($A225&lt;&gt;"Seçildi",AND($I225="",$J225="")),"",IF(OR($O225&lt;&gt;"",$P225="⚠ Çakışma",$Q225="⚠ Çakışma",$R225="⚠ Çakışma"),"⚠ Kontrol Et","✓ Uygun"))</f>
        <v/>
      </c>
    </row>
    <row r="226" customFormat="false" ht="13.5" hidden="false" customHeight="true" outlineLevel="0" collapsed="false">
      <c r="A226" s="37" t="str">
        <f aca="false">'1-Ders Havuzu'!K76</f>
        <v>Seçilmedi</v>
      </c>
      <c r="B226" s="37" t="str">
        <f aca="false">IF($A226="Seçildi",IF('1-Ders Havuzu'!C76="","",'1-Ders Havuzu'!C76),"")</f>
        <v/>
      </c>
      <c r="C226" s="38" t="str">
        <f aca="false">IF($A226="Seçildi",IF('1-Ders Havuzu'!D76="","",'1-Ders Havuzu'!D76),"")</f>
        <v/>
      </c>
      <c r="D226" s="37" t="str">
        <f aca="false">IF($A226="Seçildi",IF('1-Ders Havuzu'!B76="","",'1-Ders Havuzu'!B76),"")</f>
        <v/>
      </c>
      <c r="E226" s="37" t="str">
        <f aca="false">IF($A226="Seçildi",IF('1-Ders Havuzu'!A76="","",'1-Ders Havuzu'!A76),"")</f>
        <v/>
      </c>
      <c r="F226" s="37" t="str">
        <f aca="false">IF($A226="Seçildi",IF('1-Ders Havuzu'!H76="","",'1-Ders Havuzu'!H76),"")</f>
        <v/>
      </c>
      <c r="G226" s="37" t="str">
        <f aca="false">IF($A226="Seçildi",IF('2-Ders-Öğr.Elemanı Eşleştirme'!H76="","",'2-Ders-Öğr.Elemanı Eşleştirme'!H76),"")</f>
        <v/>
      </c>
      <c r="H226" s="39" t="n">
        <v>1</v>
      </c>
      <c r="I226" s="36"/>
      <c r="J226" s="36"/>
      <c r="K226" s="36"/>
      <c r="L226" s="36"/>
      <c r="M226" s="37" t="str">
        <f aca="false">IF($J226="","",MATCH($J226,{"08.00";"09.00";"10.00";"11.00";"12.00";"13.00";"14.00";"15.00";"16.00";"17.00"},0))</f>
        <v/>
      </c>
      <c r="N226" s="37" t="str">
        <f aca="false">IF(OR($M226="",$K226=""),"",$M226+$K226-1)</f>
        <v/>
      </c>
      <c r="O226" s="37" t="str">
        <f aca="false">IF($A226&lt;&gt;"Seçildi","",IF(OR($M226="",$N226=""),"",IF($N226&gt;10,"⚠ Saat Taşıyor","")))</f>
        <v/>
      </c>
      <c r="P226" s="37" t="str">
        <f aca="false">IF($A226&lt;&gt;"Seçildi","",IF(OR($G226="",$I226="",$M226=""),"",IF(SUMPRODUCT(($A$7:$A$456="Seçildi")*($G$7:$G$456=$G226)*($I$7:$I$456=$I226)*(ROW($A$7:$A$456)&lt;&gt;226)*($M$7:$M$456&lt;=$N226)*($N$7:$N$456&gt;=$M226))&gt;0,"⚠ Çakışma","OK")))</f>
        <v/>
      </c>
      <c r="Q226" s="37" t="str">
        <f aca="false">IF($A226&lt;&gt;"Seçildi","",IF(OR($L226="",$I226="",$M226=""),"",IF(SUMPRODUCT(($A$7:$A$456="Seçildi")*($L$7:$L$456=$L226)*($I$7:$I$456=$I226)*(ROW($A$7:$A$456)&lt;&gt;226)*($M$7:$M$456&lt;=$N226)*($N$7:$N$456&gt;=$M226))&gt;0,"⚠ Çakışma","OK")))</f>
        <v/>
      </c>
      <c r="R226" s="37" t="str">
        <f aca="false">IF($A226&lt;&gt;"Seçildi","",IF(OR($D226="",$I226="",$M226=""),"",IF(SUMPRODUCT(($A$7:$A$456="Seçildi")*($D$7:$D$456=$D226)*($I$7:$I$456=$I226)*(ROW($A$7:$A$456)&lt;&gt;226)*($M$7:$M$456&lt;=$N226)*($N$7:$N$456&gt;=$M226))&gt;0,"⚠ Çakışma","OK")))</f>
        <v/>
      </c>
      <c r="S226" s="37" t="str">
        <f aca="false">IF($A226&lt;&gt;"Seçildi","",IF(SUM($K226,$K227,$K228)&lt;&gt;$F226,"⚠ Dağılım: "&amp;SUM($K226:$K228)&amp;"/"&amp;$F226&amp;" saat","✓ Tamam"))</f>
        <v/>
      </c>
      <c r="T226" s="37" t="str">
        <f aca="false">IF($A226&lt;&gt;"Seçildi","",IF(OR($O226&lt;&gt;"",$P226="⚠ Çakışma",$Q226="⚠ Çakışma",$R226="⚠ Çakışma",LEFT($S226&amp;" ",1)="⚠"),"⚠ Kontrol Et","✓ Uygun"))</f>
        <v/>
      </c>
    </row>
    <row r="227" customFormat="false" ht="13.5" hidden="false" customHeight="true" outlineLevel="0" collapsed="false">
      <c r="A227" s="37" t="str">
        <f aca="false">'1-Ders Havuzu'!K76</f>
        <v>Seçilmedi</v>
      </c>
      <c r="B227" s="37" t="str">
        <f aca="false">IF($A227="Seçildi",IF('1-Ders Havuzu'!C76="","",'1-Ders Havuzu'!C76),"")</f>
        <v/>
      </c>
      <c r="C227" s="38" t="str">
        <f aca="false">IF($A227="Seçildi",IF('1-Ders Havuzu'!D76="","",'1-Ders Havuzu'!D76),"")</f>
        <v/>
      </c>
      <c r="D227" s="37" t="str">
        <f aca="false">IF($A227="Seçildi",IF('1-Ders Havuzu'!B76="","",'1-Ders Havuzu'!B76),"")</f>
        <v/>
      </c>
      <c r="E227" s="37" t="str">
        <f aca="false">IF($A227="Seçildi",IF('1-Ders Havuzu'!A76="","",'1-Ders Havuzu'!A76),"")</f>
        <v/>
      </c>
      <c r="F227" s="37" t="str">
        <f aca="false">IF($A227="Seçildi",IF('1-Ders Havuzu'!H76="","",'1-Ders Havuzu'!H76),"")</f>
        <v/>
      </c>
      <c r="G227" s="37" t="str">
        <f aca="false">IF($A227="Seçildi",IF('2-Ders-Öğr.Elemanı Eşleştirme'!H76="","",'2-Ders-Öğr.Elemanı Eşleştirme'!H76),"")</f>
        <v/>
      </c>
      <c r="H227" s="39" t="n">
        <v>2</v>
      </c>
      <c r="I227" s="36"/>
      <c r="J227" s="36"/>
      <c r="K227" s="36"/>
      <c r="L227" s="36"/>
      <c r="M227" s="37" t="str">
        <f aca="false">IF($J227="","",MATCH($J227,{"08.00";"09.00";"10.00";"11.00";"12.00";"13.00";"14.00";"15.00";"16.00";"17.00"},0))</f>
        <v/>
      </c>
      <c r="N227" s="37" t="str">
        <f aca="false">IF(OR($M227="",$K227=""),"",$M227+$K227-1)</f>
        <v/>
      </c>
      <c r="O227" s="37" t="str">
        <f aca="false">IF($A227&lt;&gt;"Seçildi","",IF(OR($M227="",$N227=""),"",IF($N227&gt;10,"⚠ Saat Taşıyor","")))</f>
        <v/>
      </c>
      <c r="P227" s="37" t="str">
        <f aca="false">IF($A227&lt;&gt;"Seçildi","",IF(OR($G227="",$I227="",$M227=""),"",IF(SUMPRODUCT(($A$7:$A$456="Seçildi")*($G$7:$G$456=$G227)*($I$7:$I$456=$I227)*(ROW($A$7:$A$456)&lt;&gt;227)*($M$7:$M$456&lt;=$N227)*($N$7:$N$456&gt;=$M227))&gt;0,"⚠ Çakışma","OK")))</f>
        <v/>
      </c>
      <c r="Q227" s="37" t="str">
        <f aca="false">IF($A227&lt;&gt;"Seçildi","",IF(OR($L227="",$I227="",$M227=""),"",IF(SUMPRODUCT(($A$7:$A$456="Seçildi")*($L$7:$L$456=$L227)*($I$7:$I$456=$I227)*(ROW($A$7:$A$456)&lt;&gt;227)*($M$7:$M$456&lt;=$N227)*($N$7:$N$456&gt;=$M227))&gt;0,"⚠ Çakışma","OK")))</f>
        <v/>
      </c>
      <c r="R227" s="37" t="str">
        <f aca="false">IF($A227&lt;&gt;"Seçildi","",IF(OR($D227="",$I227="",$M227=""),"",IF(SUMPRODUCT(($A$7:$A$456="Seçildi")*($D$7:$D$456=$D227)*($I$7:$I$456=$I227)*(ROW($A$7:$A$456)&lt;&gt;227)*($M$7:$M$456&lt;=$N227)*($N$7:$N$456&gt;=$M227))&gt;0,"⚠ Çakışma","OK")))</f>
        <v/>
      </c>
      <c r="S227" s="37"/>
      <c r="T227" s="37" t="str">
        <f aca="false">IF(OR($A227&lt;&gt;"Seçildi",AND($I227="",$J227="")),"",IF(OR($O227&lt;&gt;"",$P227="⚠ Çakışma",$Q227="⚠ Çakışma",$R227="⚠ Çakışma"),"⚠ Kontrol Et","✓ Uygun"))</f>
        <v/>
      </c>
    </row>
    <row r="228" customFormat="false" ht="13.5" hidden="false" customHeight="true" outlineLevel="0" collapsed="false">
      <c r="A228" s="37" t="str">
        <f aca="false">'1-Ders Havuzu'!K76</f>
        <v>Seçilmedi</v>
      </c>
      <c r="B228" s="37" t="str">
        <f aca="false">IF($A228="Seçildi",IF('1-Ders Havuzu'!C76="","",'1-Ders Havuzu'!C76),"")</f>
        <v/>
      </c>
      <c r="C228" s="38" t="str">
        <f aca="false">IF($A228="Seçildi",IF('1-Ders Havuzu'!D76="","",'1-Ders Havuzu'!D76),"")</f>
        <v/>
      </c>
      <c r="D228" s="37" t="str">
        <f aca="false">IF($A228="Seçildi",IF('1-Ders Havuzu'!B76="","",'1-Ders Havuzu'!B76),"")</f>
        <v/>
      </c>
      <c r="E228" s="37" t="str">
        <f aca="false">IF($A228="Seçildi",IF('1-Ders Havuzu'!A76="","",'1-Ders Havuzu'!A76),"")</f>
        <v/>
      </c>
      <c r="F228" s="37" t="str">
        <f aca="false">IF($A228="Seçildi",IF('1-Ders Havuzu'!H76="","",'1-Ders Havuzu'!H76),"")</f>
        <v/>
      </c>
      <c r="G228" s="37" t="str">
        <f aca="false">IF($A228="Seçildi",IF('2-Ders-Öğr.Elemanı Eşleştirme'!H76="","",'2-Ders-Öğr.Elemanı Eşleştirme'!H76),"")</f>
        <v/>
      </c>
      <c r="H228" s="39" t="n">
        <v>3</v>
      </c>
      <c r="I228" s="36"/>
      <c r="J228" s="36"/>
      <c r="K228" s="36"/>
      <c r="L228" s="36"/>
      <c r="M228" s="37" t="str">
        <f aca="false">IF($J228="","",MATCH($J228,{"08.00";"09.00";"10.00";"11.00";"12.00";"13.00";"14.00";"15.00";"16.00";"17.00"},0))</f>
        <v/>
      </c>
      <c r="N228" s="37" t="str">
        <f aca="false">IF(OR($M228="",$K228=""),"",$M228+$K228-1)</f>
        <v/>
      </c>
      <c r="O228" s="37" t="str">
        <f aca="false">IF($A228&lt;&gt;"Seçildi","",IF(OR($M228="",$N228=""),"",IF($N228&gt;10,"⚠ Saat Taşıyor","")))</f>
        <v/>
      </c>
      <c r="P228" s="37" t="str">
        <f aca="false">IF($A228&lt;&gt;"Seçildi","",IF(OR($G228="",$I228="",$M228=""),"",IF(SUMPRODUCT(($A$7:$A$456="Seçildi")*($G$7:$G$456=$G228)*($I$7:$I$456=$I228)*(ROW($A$7:$A$456)&lt;&gt;228)*($M$7:$M$456&lt;=$N228)*($N$7:$N$456&gt;=$M228))&gt;0,"⚠ Çakışma","OK")))</f>
        <v/>
      </c>
      <c r="Q228" s="37" t="str">
        <f aca="false">IF($A228&lt;&gt;"Seçildi","",IF(OR($L228="",$I228="",$M228=""),"",IF(SUMPRODUCT(($A$7:$A$456="Seçildi")*($L$7:$L$456=$L228)*($I$7:$I$456=$I228)*(ROW($A$7:$A$456)&lt;&gt;228)*($M$7:$M$456&lt;=$N228)*($N$7:$N$456&gt;=$M228))&gt;0,"⚠ Çakışma","OK")))</f>
        <v/>
      </c>
      <c r="R228" s="37" t="str">
        <f aca="false">IF($A228&lt;&gt;"Seçildi","",IF(OR($D228="",$I228="",$M228=""),"",IF(SUMPRODUCT(($A$7:$A$456="Seçildi")*($D$7:$D$456=$D228)*($I$7:$I$456=$I228)*(ROW($A$7:$A$456)&lt;&gt;228)*($M$7:$M$456&lt;=$N228)*($N$7:$N$456&gt;=$M228))&gt;0,"⚠ Çakışma","OK")))</f>
        <v/>
      </c>
      <c r="S228" s="37"/>
      <c r="T228" s="37" t="str">
        <f aca="false">IF(OR($A228&lt;&gt;"Seçildi",AND($I228="",$J228="")),"",IF(OR($O228&lt;&gt;"",$P228="⚠ Çakışma",$Q228="⚠ Çakışma",$R228="⚠ Çakışma"),"⚠ Kontrol Et","✓ Uygun"))</f>
        <v/>
      </c>
    </row>
    <row r="229" customFormat="false" ht="13.5" hidden="false" customHeight="true" outlineLevel="0" collapsed="false">
      <c r="A229" s="33" t="str">
        <f aca="false">'1-Ders Havuzu'!K77</f>
        <v>Seçilmedi</v>
      </c>
      <c r="B229" s="33" t="str">
        <f aca="false">IF($A229="Seçildi",IF('1-Ders Havuzu'!C77="","",'1-Ders Havuzu'!C77),"")</f>
        <v/>
      </c>
      <c r="C229" s="34" t="str">
        <f aca="false">IF($A229="Seçildi",IF('1-Ders Havuzu'!D77="","",'1-Ders Havuzu'!D77),"")</f>
        <v/>
      </c>
      <c r="D229" s="33" t="str">
        <f aca="false">IF($A229="Seçildi",IF('1-Ders Havuzu'!B77="","",'1-Ders Havuzu'!B77),"")</f>
        <v/>
      </c>
      <c r="E229" s="33" t="str">
        <f aca="false">IF($A229="Seçildi",IF('1-Ders Havuzu'!A77="","",'1-Ders Havuzu'!A77),"")</f>
        <v/>
      </c>
      <c r="F229" s="33" t="str">
        <f aca="false">IF($A229="Seçildi",IF('1-Ders Havuzu'!H77="","",'1-Ders Havuzu'!H77),"")</f>
        <v/>
      </c>
      <c r="G229" s="33" t="str">
        <f aca="false">IF($A229="Seçildi",IF('2-Ders-Öğr.Elemanı Eşleştirme'!H77="","",'2-Ders-Öğr.Elemanı Eşleştirme'!H77),"")</f>
        <v/>
      </c>
      <c r="H229" s="35" t="n">
        <v>1</v>
      </c>
      <c r="I229" s="36"/>
      <c r="J229" s="36"/>
      <c r="K229" s="36"/>
      <c r="L229" s="36"/>
      <c r="M229" s="33" t="str">
        <f aca="false">IF($J229="","",MATCH($J229,{"08.00";"09.00";"10.00";"11.00";"12.00";"13.00";"14.00";"15.00";"16.00";"17.00"},0))</f>
        <v/>
      </c>
      <c r="N229" s="33" t="str">
        <f aca="false">IF(OR($M229="",$K229=""),"",$M229+$K229-1)</f>
        <v/>
      </c>
      <c r="O229" s="33" t="str">
        <f aca="false">IF($A229&lt;&gt;"Seçildi","",IF(OR($M229="",$N229=""),"",IF($N229&gt;10,"⚠ Saat Taşıyor","")))</f>
        <v/>
      </c>
      <c r="P229" s="33" t="str">
        <f aca="false">IF($A229&lt;&gt;"Seçildi","",IF(OR($G229="",$I229="",$M229=""),"",IF(SUMPRODUCT(($A$7:$A$456="Seçildi")*($G$7:$G$456=$G229)*($I$7:$I$456=$I229)*(ROW($A$7:$A$456)&lt;&gt;229)*($M$7:$M$456&lt;=$N229)*($N$7:$N$456&gt;=$M229))&gt;0,"⚠ Çakışma","OK")))</f>
        <v/>
      </c>
      <c r="Q229" s="33" t="str">
        <f aca="false">IF($A229&lt;&gt;"Seçildi","",IF(OR($L229="",$I229="",$M229=""),"",IF(SUMPRODUCT(($A$7:$A$456="Seçildi")*($L$7:$L$456=$L229)*($I$7:$I$456=$I229)*(ROW($A$7:$A$456)&lt;&gt;229)*($M$7:$M$456&lt;=$N229)*($N$7:$N$456&gt;=$M229))&gt;0,"⚠ Çakışma","OK")))</f>
        <v/>
      </c>
      <c r="R229" s="33" t="str">
        <f aca="false">IF($A229&lt;&gt;"Seçildi","",IF(OR($D229="",$I229="",$M229=""),"",IF(SUMPRODUCT(($A$7:$A$456="Seçildi")*($D$7:$D$456=$D229)*($I$7:$I$456=$I229)*(ROW($A$7:$A$456)&lt;&gt;229)*($M$7:$M$456&lt;=$N229)*($N$7:$N$456&gt;=$M229))&gt;0,"⚠ Çakışma","OK")))</f>
        <v/>
      </c>
      <c r="S229" s="33" t="str">
        <f aca="false">IF($A229&lt;&gt;"Seçildi","",IF(SUM($K229,$K230,$K231)&lt;&gt;$F229,"⚠ Dağılım: "&amp;SUM($K229:$K231)&amp;"/"&amp;$F229&amp;" saat","✓ Tamam"))</f>
        <v/>
      </c>
      <c r="T229" s="33" t="str">
        <f aca="false">IF($A229&lt;&gt;"Seçildi","",IF(OR($O229&lt;&gt;"",$P229="⚠ Çakışma",$Q229="⚠ Çakışma",$R229="⚠ Çakışma",LEFT($S229&amp;" ",1)="⚠"),"⚠ Kontrol Et","✓ Uygun"))</f>
        <v/>
      </c>
    </row>
    <row r="230" customFormat="false" ht="13.5" hidden="false" customHeight="true" outlineLevel="0" collapsed="false">
      <c r="A230" s="33" t="str">
        <f aca="false">'1-Ders Havuzu'!K77</f>
        <v>Seçilmedi</v>
      </c>
      <c r="B230" s="33" t="str">
        <f aca="false">IF($A230="Seçildi",IF('1-Ders Havuzu'!C77="","",'1-Ders Havuzu'!C77),"")</f>
        <v/>
      </c>
      <c r="C230" s="34" t="str">
        <f aca="false">IF($A230="Seçildi",IF('1-Ders Havuzu'!D77="","",'1-Ders Havuzu'!D77),"")</f>
        <v/>
      </c>
      <c r="D230" s="33" t="str">
        <f aca="false">IF($A230="Seçildi",IF('1-Ders Havuzu'!B77="","",'1-Ders Havuzu'!B77),"")</f>
        <v/>
      </c>
      <c r="E230" s="33" t="str">
        <f aca="false">IF($A230="Seçildi",IF('1-Ders Havuzu'!A77="","",'1-Ders Havuzu'!A77),"")</f>
        <v/>
      </c>
      <c r="F230" s="33" t="str">
        <f aca="false">IF($A230="Seçildi",IF('1-Ders Havuzu'!H77="","",'1-Ders Havuzu'!H77),"")</f>
        <v/>
      </c>
      <c r="G230" s="33" t="str">
        <f aca="false">IF($A230="Seçildi",IF('2-Ders-Öğr.Elemanı Eşleştirme'!H77="","",'2-Ders-Öğr.Elemanı Eşleştirme'!H77),"")</f>
        <v/>
      </c>
      <c r="H230" s="35" t="n">
        <v>2</v>
      </c>
      <c r="I230" s="36"/>
      <c r="J230" s="36"/>
      <c r="K230" s="36"/>
      <c r="L230" s="36"/>
      <c r="M230" s="33" t="str">
        <f aca="false">IF($J230="","",MATCH($J230,{"08.00";"09.00";"10.00";"11.00";"12.00";"13.00";"14.00";"15.00";"16.00";"17.00"},0))</f>
        <v/>
      </c>
      <c r="N230" s="33" t="str">
        <f aca="false">IF(OR($M230="",$K230=""),"",$M230+$K230-1)</f>
        <v/>
      </c>
      <c r="O230" s="33" t="str">
        <f aca="false">IF($A230&lt;&gt;"Seçildi","",IF(OR($M230="",$N230=""),"",IF($N230&gt;10,"⚠ Saat Taşıyor","")))</f>
        <v/>
      </c>
      <c r="P230" s="33" t="str">
        <f aca="false">IF($A230&lt;&gt;"Seçildi","",IF(OR($G230="",$I230="",$M230=""),"",IF(SUMPRODUCT(($A$7:$A$456="Seçildi")*($G$7:$G$456=$G230)*($I$7:$I$456=$I230)*(ROW($A$7:$A$456)&lt;&gt;230)*($M$7:$M$456&lt;=$N230)*($N$7:$N$456&gt;=$M230))&gt;0,"⚠ Çakışma","OK")))</f>
        <v/>
      </c>
      <c r="Q230" s="33" t="str">
        <f aca="false">IF($A230&lt;&gt;"Seçildi","",IF(OR($L230="",$I230="",$M230=""),"",IF(SUMPRODUCT(($A$7:$A$456="Seçildi")*($L$7:$L$456=$L230)*($I$7:$I$456=$I230)*(ROW($A$7:$A$456)&lt;&gt;230)*($M$7:$M$456&lt;=$N230)*($N$7:$N$456&gt;=$M230))&gt;0,"⚠ Çakışma","OK")))</f>
        <v/>
      </c>
      <c r="R230" s="33" t="str">
        <f aca="false">IF($A230&lt;&gt;"Seçildi","",IF(OR($D230="",$I230="",$M230=""),"",IF(SUMPRODUCT(($A$7:$A$456="Seçildi")*($D$7:$D$456=$D230)*($I$7:$I$456=$I230)*(ROW($A$7:$A$456)&lt;&gt;230)*($M$7:$M$456&lt;=$N230)*($N$7:$N$456&gt;=$M230))&gt;0,"⚠ Çakışma","OK")))</f>
        <v/>
      </c>
      <c r="S230" s="33"/>
      <c r="T230" s="33" t="str">
        <f aca="false">IF(OR($A230&lt;&gt;"Seçildi",AND($I230="",$J230="")),"",IF(OR($O230&lt;&gt;"",$P230="⚠ Çakışma",$Q230="⚠ Çakışma",$R230="⚠ Çakışma"),"⚠ Kontrol Et","✓ Uygun"))</f>
        <v/>
      </c>
    </row>
    <row r="231" customFormat="false" ht="13.5" hidden="false" customHeight="true" outlineLevel="0" collapsed="false">
      <c r="A231" s="33" t="str">
        <f aca="false">'1-Ders Havuzu'!K77</f>
        <v>Seçilmedi</v>
      </c>
      <c r="B231" s="33" t="str">
        <f aca="false">IF($A231="Seçildi",IF('1-Ders Havuzu'!C77="","",'1-Ders Havuzu'!C77),"")</f>
        <v/>
      </c>
      <c r="C231" s="34" t="str">
        <f aca="false">IF($A231="Seçildi",IF('1-Ders Havuzu'!D77="","",'1-Ders Havuzu'!D77),"")</f>
        <v/>
      </c>
      <c r="D231" s="33" t="str">
        <f aca="false">IF($A231="Seçildi",IF('1-Ders Havuzu'!B77="","",'1-Ders Havuzu'!B77),"")</f>
        <v/>
      </c>
      <c r="E231" s="33" t="str">
        <f aca="false">IF($A231="Seçildi",IF('1-Ders Havuzu'!A77="","",'1-Ders Havuzu'!A77),"")</f>
        <v/>
      </c>
      <c r="F231" s="33" t="str">
        <f aca="false">IF($A231="Seçildi",IF('1-Ders Havuzu'!H77="","",'1-Ders Havuzu'!H77),"")</f>
        <v/>
      </c>
      <c r="G231" s="33" t="str">
        <f aca="false">IF($A231="Seçildi",IF('2-Ders-Öğr.Elemanı Eşleştirme'!H77="","",'2-Ders-Öğr.Elemanı Eşleştirme'!H77),"")</f>
        <v/>
      </c>
      <c r="H231" s="35" t="n">
        <v>3</v>
      </c>
      <c r="I231" s="36"/>
      <c r="J231" s="36"/>
      <c r="K231" s="36"/>
      <c r="L231" s="36"/>
      <c r="M231" s="33" t="str">
        <f aca="false">IF($J231="","",MATCH($J231,{"08.00";"09.00";"10.00";"11.00";"12.00";"13.00";"14.00";"15.00";"16.00";"17.00"},0))</f>
        <v/>
      </c>
      <c r="N231" s="33" t="str">
        <f aca="false">IF(OR($M231="",$K231=""),"",$M231+$K231-1)</f>
        <v/>
      </c>
      <c r="O231" s="33" t="str">
        <f aca="false">IF($A231&lt;&gt;"Seçildi","",IF(OR($M231="",$N231=""),"",IF($N231&gt;10,"⚠ Saat Taşıyor","")))</f>
        <v/>
      </c>
      <c r="P231" s="33" t="str">
        <f aca="false">IF($A231&lt;&gt;"Seçildi","",IF(OR($G231="",$I231="",$M231=""),"",IF(SUMPRODUCT(($A$7:$A$456="Seçildi")*($G$7:$G$456=$G231)*($I$7:$I$456=$I231)*(ROW($A$7:$A$456)&lt;&gt;231)*($M$7:$M$456&lt;=$N231)*($N$7:$N$456&gt;=$M231))&gt;0,"⚠ Çakışma","OK")))</f>
        <v/>
      </c>
      <c r="Q231" s="33" t="str">
        <f aca="false">IF($A231&lt;&gt;"Seçildi","",IF(OR($L231="",$I231="",$M231=""),"",IF(SUMPRODUCT(($A$7:$A$456="Seçildi")*($L$7:$L$456=$L231)*($I$7:$I$456=$I231)*(ROW($A$7:$A$456)&lt;&gt;231)*($M$7:$M$456&lt;=$N231)*($N$7:$N$456&gt;=$M231))&gt;0,"⚠ Çakışma","OK")))</f>
        <v/>
      </c>
      <c r="R231" s="33" t="str">
        <f aca="false">IF($A231&lt;&gt;"Seçildi","",IF(OR($D231="",$I231="",$M231=""),"",IF(SUMPRODUCT(($A$7:$A$456="Seçildi")*($D$7:$D$456=$D231)*($I$7:$I$456=$I231)*(ROW($A$7:$A$456)&lt;&gt;231)*($M$7:$M$456&lt;=$N231)*($N$7:$N$456&gt;=$M231))&gt;0,"⚠ Çakışma","OK")))</f>
        <v/>
      </c>
      <c r="S231" s="33"/>
      <c r="T231" s="33" t="str">
        <f aca="false">IF(OR($A231&lt;&gt;"Seçildi",AND($I231="",$J231="")),"",IF(OR($O231&lt;&gt;"",$P231="⚠ Çakışma",$Q231="⚠ Çakışma",$R231="⚠ Çakışma"),"⚠ Kontrol Et","✓ Uygun"))</f>
        <v/>
      </c>
    </row>
    <row r="232" customFormat="false" ht="13.5" hidden="false" customHeight="true" outlineLevel="0" collapsed="false">
      <c r="A232" s="37" t="str">
        <f aca="false">'1-Ders Havuzu'!K78</f>
        <v>Seçilmedi</v>
      </c>
      <c r="B232" s="37" t="str">
        <f aca="false">IF($A232="Seçildi",IF('1-Ders Havuzu'!C78="","",'1-Ders Havuzu'!C78),"")</f>
        <v/>
      </c>
      <c r="C232" s="38" t="str">
        <f aca="false">IF($A232="Seçildi",IF('1-Ders Havuzu'!D78="","",'1-Ders Havuzu'!D78),"")</f>
        <v/>
      </c>
      <c r="D232" s="37" t="str">
        <f aca="false">IF($A232="Seçildi",IF('1-Ders Havuzu'!B78="","",'1-Ders Havuzu'!B78),"")</f>
        <v/>
      </c>
      <c r="E232" s="37" t="str">
        <f aca="false">IF($A232="Seçildi",IF('1-Ders Havuzu'!A78="","",'1-Ders Havuzu'!A78),"")</f>
        <v/>
      </c>
      <c r="F232" s="37" t="str">
        <f aca="false">IF($A232="Seçildi",IF('1-Ders Havuzu'!H78="","",'1-Ders Havuzu'!H78),"")</f>
        <v/>
      </c>
      <c r="G232" s="37" t="str">
        <f aca="false">IF($A232="Seçildi",IF('2-Ders-Öğr.Elemanı Eşleştirme'!H78="","",'2-Ders-Öğr.Elemanı Eşleştirme'!H78),"")</f>
        <v/>
      </c>
      <c r="H232" s="39" t="n">
        <v>1</v>
      </c>
      <c r="I232" s="36"/>
      <c r="J232" s="36"/>
      <c r="K232" s="36"/>
      <c r="L232" s="36"/>
      <c r="M232" s="37" t="str">
        <f aca="false">IF($J232="","",MATCH($J232,{"08.00";"09.00";"10.00";"11.00";"12.00";"13.00";"14.00";"15.00";"16.00";"17.00"},0))</f>
        <v/>
      </c>
      <c r="N232" s="37" t="str">
        <f aca="false">IF(OR($M232="",$K232=""),"",$M232+$K232-1)</f>
        <v/>
      </c>
      <c r="O232" s="37" t="str">
        <f aca="false">IF($A232&lt;&gt;"Seçildi","",IF(OR($M232="",$N232=""),"",IF($N232&gt;10,"⚠ Saat Taşıyor","")))</f>
        <v/>
      </c>
      <c r="P232" s="37" t="str">
        <f aca="false">IF($A232&lt;&gt;"Seçildi","",IF(OR($G232="",$I232="",$M232=""),"",IF(SUMPRODUCT(($A$7:$A$456="Seçildi")*($G$7:$G$456=$G232)*($I$7:$I$456=$I232)*(ROW($A$7:$A$456)&lt;&gt;232)*($M$7:$M$456&lt;=$N232)*($N$7:$N$456&gt;=$M232))&gt;0,"⚠ Çakışma","OK")))</f>
        <v/>
      </c>
      <c r="Q232" s="37" t="str">
        <f aca="false">IF($A232&lt;&gt;"Seçildi","",IF(OR($L232="",$I232="",$M232=""),"",IF(SUMPRODUCT(($A$7:$A$456="Seçildi")*($L$7:$L$456=$L232)*($I$7:$I$456=$I232)*(ROW($A$7:$A$456)&lt;&gt;232)*($M$7:$M$456&lt;=$N232)*($N$7:$N$456&gt;=$M232))&gt;0,"⚠ Çakışma","OK")))</f>
        <v/>
      </c>
      <c r="R232" s="37" t="str">
        <f aca="false">IF($A232&lt;&gt;"Seçildi","",IF(OR($D232="",$I232="",$M232=""),"",IF(SUMPRODUCT(($A$7:$A$456="Seçildi")*($D$7:$D$456=$D232)*($I$7:$I$456=$I232)*(ROW($A$7:$A$456)&lt;&gt;232)*($M$7:$M$456&lt;=$N232)*($N$7:$N$456&gt;=$M232))&gt;0,"⚠ Çakışma","OK")))</f>
        <v/>
      </c>
      <c r="S232" s="37" t="str">
        <f aca="false">IF($A232&lt;&gt;"Seçildi","",IF(SUM($K232,$K233,$K234)&lt;&gt;$F232,"⚠ Dağılım: "&amp;SUM($K232:$K234)&amp;"/"&amp;$F232&amp;" saat","✓ Tamam"))</f>
        <v/>
      </c>
      <c r="T232" s="37" t="str">
        <f aca="false">IF($A232&lt;&gt;"Seçildi","",IF(OR($O232&lt;&gt;"",$P232="⚠ Çakışma",$Q232="⚠ Çakışma",$R232="⚠ Çakışma",LEFT($S232&amp;" ",1)="⚠"),"⚠ Kontrol Et","✓ Uygun"))</f>
        <v/>
      </c>
    </row>
    <row r="233" customFormat="false" ht="13.5" hidden="false" customHeight="true" outlineLevel="0" collapsed="false">
      <c r="A233" s="37" t="str">
        <f aca="false">'1-Ders Havuzu'!K78</f>
        <v>Seçilmedi</v>
      </c>
      <c r="B233" s="37" t="str">
        <f aca="false">IF($A233="Seçildi",IF('1-Ders Havuzu'!C78="","",'1-Ders Havuzu'!C78),"")</f>
        <v/>
      </c>
      <c r="C233" s="38" t="str">
        <f aca="false">IF($A233="Seçildi",IF('1-Ders Havuzu'!D78="","",'1-Ders Havuzu'!D78),"")</f>
        <v/>
      </c>
      <c r="D233" s="37" t="str">
        <f aca="false">IF($A233="Seçildi",IF('1-Ders Havuzu'!B78="","",'1-Ders Havuzu'!B78),"")</f>
        <v/>
      </c>
      <c r="E233" s="37" t="str">
        <f aca="false">IF($A233="Seçildi",IF('1-Ders Havuzu'!A78="","",'1-Ders Havuzu'!A78),"")</f>
        <v/>
      </c>
      <c r="F233" s="37" t="str">
        <f aca="false">IF($A233="Seçildi",IF('1-Ders Havuzu'!H78="","",'1-Ders Havuzu'!H78),"")</f>
        <v/>
      </c>
      <c r="G233" s="37" t="str">
        <f aca="false">IF($A233="Seçildi",IF('2-Ders-Öğr.Elemanı Eşleştirme'!H78="","",'2-Ders-Öğr.Elemanı Eşleştirme'!H78),"")</f>
        <v/>
      </c>
      <c r="H233" s="39" t="n">
        <v>2</v>
      </c>
      <c r="I233" s="36"/>
      <c r="J233" s="36"/>
      <c r="K233" s="36"/>
      <c r="L233" s="36"/>
      <c r="M233" s="37" t="str">
        <f aca="false">IF($J233="","",MATCH($J233,{"08.00";"09.00";"10.00";"11.00";"12.00";"13.00";"14.00";"15.00";"16.00";"17.00"},0))</f>
        <v/>
      </c>
      <c r="N233" s="37" t="str">
        <f aca="false">IF(OR($M233="",$K233=""),"",$M233+$K233-1)</f>
        <v/>
      </c>
      <c r="O233" s="37" t="str">
        <f aca="false">IF($A233&lt;&gt;"Seçildi","",IF(OR($M233="",$N233=""),"",IF($N233&gt;10,"⚠ Saat Taşıyor","")))</f>
        <v/>
      </c>
      <c r="P233" s="37" t="str">
        <f aca="false">IF($A233&lt;&gt;"Seçildi","",IF(OR($G233="",$I233="",$M233=""),"",IF(SUMPRODUCT(($A$7:$A$456="Seçildi")*($G$7:$G$456=$G233)*($I$7:$I$456=$I233)*(ROW($A$7:$A$456)&lt;&gt;233)*($M$7:$M$456&lt;=$N233)*($N$7:$N$456&gt;=$M233))&gt;0,"⚠ Çakışma","OK")))</f>
        <v/>
      </c>
      <c r="Q233" s="37" t="str">
        <f aca="false">IF($A233&lt;&gt;"Seçildi","",IF(OR($L233="",$I233="",$M233=""),"",IF(SUMPRODUCT(($A$7:$A$456="Seçildi")*($L$7:$L$456=$L233)*($I$7:$I$456=$I233)*(ROW($A$7:$A$456)&lt;&gt;233)*($M$7:$M$456&lt;=$N233)*($N$7:$N$456&gt;=$M233))&gt;0,"⚠ Çakışma","OK")))</f>
        <v/>
      </c>
      <c r="R233" s="37" t="str">
        <f aca="false">IF($A233&lt;&gt;"Seçildi","",IF(OR($D233="",$I233="",$M233=""),"",IF(SUMPRODUCT(($A$7:$A$456="Seçildi")*($D$7:$D$456=$D233)*($I$7:$I$456=$I233)*(ROW($A$7:$A$456)&lt;&gt;233)*($M$7:$M$456&lt;=$N233)*($N$7:$N$456&gt;=$M233))&gt;0,"⚠ Çakışma","OK")))</f>
        <v/>
      </c>
      <c r="S233" s="37"/>
      <c r="T233" s="37" t="str">
        <f aca="false">IF(OR($A233&lt;&gt;"Seçildi",AND($I233="",$J233="")),"",IF(OR($O233&lt;&gt;"",$P233="⚠ Çakışma",$Q233="⚠ Çakışma",$R233="⚠ Çakışma"),"⚠ Kontrol Et","✓ Uygun"))</f>
        <v/>
      </c>
    </row>
    <row r="234" customFormat="false" ht="13.5" hidden="false" customHeight="true" outlineLevel="0" collapsed="false">
      <c r="A234" s="37" t="str">
        <f aca="false">'1-Ders Havuzu'!K78</f>
        <v>Seçilmedi</v>
      </c>
      <c r="B234" s="37" t="str">
        <f aca="false">IF($A234="Seçildi",IF('1-Ders Havuzu'!C78="","",'1-Ders Havuzu'!C78),"")</f>
        <v/>
      </c>
      <c r="C234" s="38" t="str">
        <f aca="false">IF($A234="Seçildi",IF('1-Ders Havuzu'!D78="","",'1-Ders Havuzu'!D78),"")</f>
        <v/>
      </c>
      <c r="D234" s="37" t="str">
        <f aca="false">IF($A234="Seçildi",IF('1-Ders Havuzu'!B78="","",'1-Ders Havuzu'!B78),"")</f>
        <v/>
      </c>
      <c r="E234" s="37" t="str">
        <f aca="false">IF($A234="Seçildi",IF('1-Ders Havuzu'!A78="","",'1-Ders Havuzu'!A78),"")</f>
        <v/>
      </c>
      <c r="F234" s="37" t="str">
        <f aca="false">IF($A234="Seçildi",IF('1-Ders Havuzu'!H78="","",'1-Ders Havuzu'!H78),"")</f>
        <v/>
      </c>
      <c r="G234" s="37" t="str">
        <f aca="false">IF($A234="Seçildi",IF('2-Ders-Öğr.Elemanı Eşleştirme'!H78="","",'2-Ders-Öğr.Elemanı Eşleştirme'!H78),"")</f>
        <v/>
      </c>
      <c r="H234" s="39" t="n">
        <v>3</v>
      </c>
      <c r="I234" s="36"/>
      <c r="J234" s="36"/>
      <c r="K234" s="36"/>
      <c r="L234" s="36"/>
      <c r="M234" s="37" t="str">
        <f aca="false">IF($J234="","",MATCH($J234,{"08.00";"09.00";"10.00";"11.00";"12.00";"13.00";"14.00";"15.00";"16.00";"17.00"},0))</f>
        <v/>
      </c>
      <c r="N234" s="37" t="str">
        <f aca="false">IF(OR($M234="",$K234=""),"",$M234+$K234-1)</f>
        <v/>
      </c>
      <c r="O234" s="37" t="str">
        <f aca="false">IF($A234&lt;&gt;"Seçildi","",IF(OR($M234="",$N234=""),"",IF($N234&gt;10,"⚠ Saat Taşıyor","")))</f>
        <v/>
      </c>
      <c r="P234" s="37" t="str">
        <f aca="false">IF($A234&lt;&gt;"Seçildi","",IF(OR($G234="",$I234="",$M234=""),"",IF(SUMPRODUCT(($A$7:$A$456="Seçildi")*($G$7:$G$456=$G234)*($I$7:$I$456=$I234)*(ROW($A$7:$A$456)&lt;&gt;234)*($M$7:$M$456&lt;=$N234)*($N$7:$N$456&gt;=$M234))&gt;0,"⚠ Çakışma","OK")))</f>
        <v/>
      </c>
      <c r="Q234" s="37" t="str">
        <f aca="false">IF($A234&lt;&gt;"Seçildi","",IF(OR($L234="",$I234="",$M234=""),"",IF(SUMPRODUCT(($A$7:$A$456="Seçildi")*($L$7:$L$456=$L234)*($I$7:$I$456=$I234)*(ROW($A$7:$A$456)&lt;&gt;234)*($M$7:$M$456&lt;=$N234)*($N$7:$N$456&gt;=$M234))&gt;0,"⚠ Çakışma","OK")))</f>
        <v/>
      </c>
      <c r="R234" s="37" t="str">
        <f aca="false">IF($A234&lt;&gt;"Seçildi","",IF(OR($D234="",$I234="",$M234=""),"",IF(SUMPRODUCT(($A$7:$A$456="Seçildi")*($D$7:$D$456=$D234)*($I$7:$I$456=$I234)*(ROW($A$7:$A$456)&lt;&gt;234)*($M$7:$M$456&lt;=$N234)*($N$7:$N$456&gt;=$M234))&gt;0,"⚠ Çakışma","OK")))</f>
        <v/>
      </c>
      <c r="S234" s="37"/>
      <c r="T234" s="37" t="str">
        <f aca="false">IF(OR($A234&lt;&gt;"Seçildi",AND($I234="",$J234="")),"",IF(OR($O234&lt;&gt;"",$P234="⚠ Çakışma",$Q234="⚠ Çakışma",$R234="⚠ Çakışma"),"⚠ Kontrol Et","✓ Uygun"))</f>
        <v/>
      </c>
    </row>
    <row r="235" customFormat="false" ht="13.5" hidden="false" customHeight="true" outlineLevel="0" collapsed="false">
      <c r="A235" s="33" t="str">
        <f aca="false">'1-Ders Havuzu'!K79</f>
        <v>Seçilmedi</v>
      </c>
      <c r="B235" s="33" t="str">
        <f aca="false">IF($A235="Seçildi",IF('1-Ders Havuzu'!C79="","",'1-Ders Havuzu'!C79),"")</f>
        <v/>
      </c>
      <c r="C235" s="34" t="str">
        <f aca="false">IF($A235="Seçildi",IF('1-Ders Havuzu'!D79="","",'1-Ders Havuzu'!D79),"")</f>
        <v/>
      </c>
      <c r="D235" s="33" t="str">
        <f aca="false">IF($A235="Seçildi",IF('1-Ders Havuzu'!B79="","",'1-Ders Havuzu'!B79),"")</f>
        <v/>
      </c>
      <c r="E235" s="33" t="str">
        <f aca="false">IF($A235="Seçildi",IF('1-Ders Havuzu'!A79="","",'1-Ders Havuzu'!A79),"")</f>
        <v/>
      </c>
      <c r="F235" s="33" t="str">
        <f aca="false">IF($A235="Seçildi",IF('1-Ders Havuzu'!H79="","",'1-Ders Havuzu'!H79),"")</f>
        <v/>
      </c>
      <c r="G235" s="33" t="str">
        <f aca="false">IF($A235="Seçildi",IF('2-Ders-Öğr.Elemanı Eşleştirme'!H79="","",'2-Ders-Öğr.Elemanı Eşleştirme'!H79),"")</f>
        <v/>
      </c>
      <c r="H235" s="35" t="n">
        <v>1</v>
      </c>
      <c r="I235" s="36"/>
      <c r="J235" s="36"/>
      <c r="K235" s="36"/>
      <c r="L235" s="36"/>
      <c r="M235" s="33" t="str">
        <f aca="false">IF($J235="","",MATCH($J235,{"08.00";"09.00";"10.00";"11.00";"12.00";"13.00";"14.00";"15.00";"16.00";"17.00"},0))</f>
        <v/>
      </c>
      <c r="N235" s="33" t="str">
        <f aca="false">IF(OR($M235="",$K235=""),"",$M235+$K235-1)</f>
        <v/>
      </c>
      <c r="O235" s="33" t="str">
        <f aca="false">IF($A235&lt;&gt;"Seçildi","",IF(OR($M235="",$N235=""),"",IF($N235&gt;10,"⚠ Saat Taşıyor","")))</f>
        <v/>
      </c>
      <c r="P235" s="33" t="str">
        <f aca="false">IF($A235&lt;&gt;"Seçildi","",IF(OR($G235="",$I235="",$M235=""),"",IF(SUMPRODUCT(($A$7:$A$456="Seçildi")*($G$7:$G$456=$G235)*($I$7:$I$456=$I235)*(ROW($A$7:$A$456)&lt;&gt;235)*($M$7:$M$456&lt;=$N235)*($N$7:$N$456&gt;=$M235))&gt;0,"⚠ Çakışma","OK")))</f>
        <v/>
      </c>
      <c r="Q235" s="33" t="str">
        <f aca="false">IF($A235&lt;&gt;"Seçildi","",IF(OR($L235="",$I235="",$M235=""),"",IF(SUMPRODUCT(($A$7:$A$456="Seçildi")*($L$7:$L$456=$L235)*($I$7:$I$456=$I235)*(ROW($A$7:$A$456)&lt;&gt;235)*($M$7:$M$456&lt;=$N235)*($N$7:$N$456&gt;=$M235))&gt;0,"⚠ Çakışma","OK")))</f>
        <v/>
      </c>
      <c r="R235" s="33" t="str">
        <f aca="false">IF($A235&lt;&gt;"Seçildi","",IF(OR($D235="",$I235="",$M235=""),"",IF(SUMPRODUCT(($A$7:$A$456="Seçildi")*($D$7:$D$456=$D235)*($I$7:$I$456=$I235)*(ROW($A$7:$A$456)&lt;&gt;235)*($M$7:$M$456&lt;=$N235)*($N$7:$N$456&gt;=$M235))&gt;0,"⚠ Çakışma","OK")))</f>
        <v/>
      </c>
      <c r="S235" s="33" t="str">
        <f aca="false">IF($A235&lt;&gt;"Seçildi","",IF(SUM($K235,$K236,$K237)&lt;&gt;$F235,"⚠ Dağılım: "&amp;SUM($K235:$K237)&amp;"/"&amp;$F235&amp;" saat","✓ Tamam"))</f>
        <v/>
      </c>
      <c r="T235" s="33" t="str">
        <f aca="false">IF($A235&lt;&gt;"Seçildi","",IF(OR($O235&lt;&gt;"",$P235="⚠ Çakışma",$Q235="⚠ Çakışma",$R235="⚠ Çakışma",LEFT($S235&amp;" ",1)="⚠"),"⚠ Kontrol Et","✓ Uygun"))</f>
        <v/>
      </c>
    </row>
    <row r="236" customFormat="false" ht="13.5" hidden="false" customHeight="true" outlineLevel="0" collapsed="false">
      <c r="A236" s="33" t="str">
        <f aca="false">'1-Ders Havuzu'!K79</f>
        <v>Seçilmedi</v>
      </c>
      <c r="B236" s="33" t="str">
        <f aca="false">IF($A236="Seçildi",IF('1-Ders Havuzu'!C79="","",'1-Ders Havuzu'!C79),"")</f>
        <v/>
      </c>
      <c r="C236" s="34" t="str">
        <f aca="false">IF($A236="Seçildi",IF('1-Ders Havuzu'!D79="","",'1-Ders Havuzu'!D79),"")</f>
        <v/>
      </c>
      <c r="D236" s="33" t="str">
        <f aca="false">IF($A236="Seçildi",IF('1-Ders Havuzu'!B79="","",'1-Ders Havuzu'!B79),"")</f>
        <v/>
      </c>
      <c r="E236" s="33" t="str">
        <f aca="false">IF($A236="Seçildi",IF('1-Ders Havuzu'!A79="","",'1-Ders Havuzu'!A79),"")</f>
        <v/>
      </c>
      <c r="F236" s="33" t="str">
        <f aca="false">IF($A236="Seçildi",IF('1-Ders Havuzu'!H79="","",'1-Ders Havuzu'!H79),"")</f>
        <v/>
      </c>
      <c r="G236" s="33" t="str">
        <f aca="false">IF($A236="Seçildi",IF('2-Ders-Öğr.Elemanı Eşleştirme'!H79="","",'2-Ders-Öğr.Elemanı Eşleştirme'!H79),"")</f>
        <v/>
      </c>
      <c r="H236" s="35" t="n">
        <v>2</v>
      </c>
      <c r="I236" s="36"/>
      <c r="J236" s="36"/>
      <c r="K236" s="36"/>
      <c r="L236" s="36"/>
      <c r="M236" s="33" t="str">
        <f aca="false">IF($J236="","",MATCH($J236,{"08.00";"09.00";"10.00";"11.00";"12.00";"13.00";"14.00";"15.00";"16.00";"17.00"},0))</f>
        <v/>
      </c>
      <c r="N236" s="33" t="str">
        <f aca="false">IF(OR($M236="",$K236=""),"",$M236+$K236-1)</f>
        <v/>
      </c>
      <c r="O236" s="33" t="str">
        <f aca="false">IF($A236&lt;&gt;"Seçildi","",IF(OR($M236="",$N236=""),"",IF($N236&gt;10,"⚠ Saat Taşıyor","")))</f>
        <v/>
      </c>
      <c r="P236" s="33" t="str">
        <f aca="false">IF($A236&lt;&gt;"Seçildi","",IF(OR($G236="",$I236="",$M236=""),"",IF(SUMPRODUCT(($A$7:$A$456="Seçildi")*($G$7:$G$456=$G236)*($I$7:$I$456=$I236)*(ROW($A$7:$A$456)&lt;&gt;236)*($M$7:$M$456&lt;=$N236)*($N$7:$N$456&gt;=$M236))&gt;0,"⚠ Çakışma","OK")))</f>
        <v/>
      </c>
      <c r="Q236" s="33" t="str">
        <f aca="false">IF($A236&lt;&gt;"Seçildi","",IF(OR($L236="",$I236="",$M236=""),"",IF(SUMPRODUCT(($A$7:$A$456="Seçildi")*($L$7:$L$456=$L236)*($I$7:$I$456=$I236)*(ROW($A$7:$A$456)&lt;&gt;236)*($M$7:$M$456&lt;=$N236)*($N$7:$N$456&gt;=$M236))&gt;0,"⚠ Çakışma","OK")))</f>
        <v/>
      </c>
      <c r="R236" s="33" t="str">
        <f aca="false">IF($A236&lt;&gt;"Seçildi","",IF(OR($D236="",$I236="",$M236=""),"",IF(SUMPRODUCT(($A$7:$A$456="Seçildi")*($D$7:$D$456=$D236)*($I$7:$I$456=$I236)*(ROW($A$7:$A$456)&lt;&gt;236)*($M$7:$M$456&lt;=$N236)*($N$7:$N$456&gt;=$M236))&gt;0,"⚠ Çakışma","OK")))</f>
        <v/>
      </c>
      <c r="S236" s="33"/>
      <c r="T236" s="33" t="str">
        <f aca="false">IF(OR($A236&lt;&gt;"Seçildi",AND($I236="",$J236="")),"",IF(OR($O236&lt;&gt;"",$P236="⚠ Çakışma",$Q236="⚠ Çakışma",$R236="⚠ Çakışma"),"⚠ Kontrol Et","✓ Uygun"))</f>
        <v/>
      </c>
    </row>
    <row r="237" customFormat="false" ht="13.5" hidden="false" customHeight="true" outlineLevel="0" collapsed="false">
      <c r="A237" s="33" t="str">
        <f aca="false">'1-Ders Havuzu'!K79</f>
        <v>Seçilmedi</v>
      </c>
      <c r="B237" s="33" t="str">
        <f aca="false">IF($A237="Seçildi",IF('1-Ders Havuzu'!C79="","",'1-Ders Havuzu'!C79),"")</f>
        <v/>
      </c>
      <c r="C237" s="34" t="str">
        <f aca="false">IF($A237="Seçildi",IF('1-Ders Havuzu'!D79="","",'1-Ders Havuzu'!D79),"")</f>
        <v/>
      </c>
      <c r="D237" s="33" t="str">
        <f aca="false">IF($A237="Seçildi",IF('1-Ders Havuzu'!B79="","",'1-Ders Havuzu'!B79),"")</f>
        <v/>
      </c>
      <c r="E237" s="33" t="str">
        <f aca="false">IF($A237="Seçildi",IF('1-Ders Havuzu'!A79="","",'1-Ders Havuzu'!A79),"")</f>
        <v/>
      </c>
      <c r="F237" s="33" t="str">
        <f aca="false">IF($A237="Seçildi",IF('1-Ders Havuzu'!H79="","",'1-Ders Havuzu'!H79),"")</f>
        <v/>
      </c>
      <c r="G237" s="33" t="str">
        <f aca="false">IF($A237="Seçildi",IF('2-Ders-Öğr.Elemanı Eşleştirme'!H79="","",'2-Ders-Öğr.Elemanı Eşleştirme'!H79),"")</f>
        <v/>
      </c>
      <c r="H237" s="35" t="n">
        <v>3</v>
      </c>
      <c r="I237" s="36"/>
      <c r="J237" s="36"/>
      <c r="K237" s="36"/>
      <c r="L237" s="36"/>
      <c r="M237" s="33" t="str">
        <f aca="false">IF($J237="","",MATCH($J237,{"08.00";"09.00";"10.00";"11.00";"12.00";"13.00";"14.00";"15.00";"16.00";"17.00"},0))</f>
        <v/>
      </c>
      <c r="N237" s="33" t="str">
        <f aca="false">IF(OR($M237="",$K237=""),"",$M237+$K237-1)</f>
        <v/>
      </c>
      <c r="O237" s="33" t="str">
        <f aca="false">IF($A237&lt;&gt;"Seçildi","",IF(OR($M237="",$N237=""),"",IF($N237&gt;10,"⚠ Saat Taşıyor","")))</f>
        <v/>
      </c>
      <c r="P237" s="33" t="str">
        <f aca="false">IF($A237&lt;&gt;"Seçildi","",IF(OR($G237="",$I237="",$M237=""),"",IF(SUMPRODUCT(($A$7:$A$456="Seçildi")*($G$7:$G$456=$G237)*($I$7:$I$456=$I237)*(ROW($A$7:$A$456)&lt;&gt;237)*($M$7:$M$456&lt;=$N237)*($N$7:$N$456&gt;=$M237))&gt;0,"⚠ Çakışma","OK")))</f>
        <v/>
      </c>
      <c r="Q237" s="33" t="str">
        <f aca="false">IF($A237&lt;&gt;"Seçildi","",IF(OR($L237="",$I237="",$M237=""),"",IF(SUMPRODUCT(($A$7:$A$456="Seçildi")*($L$7:$L$456=$L237)*($I$7:$I$456=$I237)*(ROW($A$7:$A$456)&lt;&gt;237)*($M$7:$M$456&lt;=$N237)*($N$7:$N$456&gt;=$M237))&gt;0,"⚠ Çakışma","OK")))</f>
        <v/>
      </c>
      <c r="R237" s="33" t="str">
        <f aca="false">IF($A237&lt;&gt;"Seçildi","",IF(OR($D237="",$I237="",$M237=""),"",IF(SUMPRODUCT(($A$7:$A$456="Seçildi")*($D$7:$D$456=$D237)*($I$7:$I$456=$I237)*(ROW($A$7:$A$456)&lt;&gt;237)*($M$7:$M$456&lt;=$N237)*($N$7:$N$456&gt;=$M237))&gt;0,"⚠ Çakışma","OK")))</f>
        <v/>
      </c>
      <c r="S237" s="33"/>
      <c r="T237" s="33" t="str">
        <f aca="false">IF(OR($A237&lt;&gt;"Seçildi",AND($I237="",$J237="")),"",IF(OR($O237&lt;&gt;"",$P237="⚠ Çakışma",$Q237="⚠ Çakışma",$R237="⚠ Çakışma"),"⚠ Kontrol Et","✓ Uygun"))</f>
        <v/>
      </c>
    </row>
    <row r="238" customFormat="false" ht="13.5" hidden="false" customHeight="true" outlineLevel="0" collapsed="false">
      <c r="A238" s="37" t="str">
        <f aca="false">'1-Ders Havuzu'!K80</f>
        <v>Seçilmedi</v>
      </c>
      <c r="B238" s="37" t="str">
        <f aca="false">IF($A238="Seçildi",IF('1-Ders Havuzu'!C80="","",'1-Ders Havuzu'!C80),"")</f>
        <v/>
      </c>
      <c r="C238" s="38" t="str">
        <f aca="false">IF($A238="Seçildi",IF('1-Ders Havuzu'!D80="","",'1-Ders Havuzu'!D80),"")</f>
        <v/>
      </c>
      <c r="D238" s="37" t="str">
        <f aca="false">IF($A238="Seçildi",IF('1-Ders Havuzu'!B80="","",'1-Ders Havuzu'!B80),"")</f>
        <v/>
      </c>
      <c r="E238" s="37" t="str">
        <f aca="false">IF($A238="Seçildi",IF('1-Ders Havuzu'!A80="","",'1-Ders Havuzu'!A80),"")</f>
        <v/>
      </c>
      <c r="F238" s="37" t="str">
        <f aca="false">IF($A238="Seçildi",IF('1-Ders Havuzu'!H80="","",'1-Ders Havuzu'!H80),"")</f>
        <v/>
      </c>
      <c r="G238" s="37" t="str">
        <f aca="false">IF($A238="Seçildi",IF('2-Ders-Öğr.Elemanı Eşleştirme'!H80="","",'2-Ders-Öğr.Elemanı Eşleştirme'!H80),"")</f>
        <v/>
      </c>
      <c r="H238" s="39" t="n">
        <v>1</v>
      </c>
      <c r="I238" s="36"/>
      <c r="J238" s="36"/>
      <c r="K238" s="36"/>
      <c r="L238" s="36"/>
      <c r="M238" s="37" t="str">
        <f aca="false">IF($J238="","",MATCH($J238,{"08.00";"09.00";"10.00";"11.00";"12.00";"13.00";"14.00";"15.00";"16.00";"17.00"},0))</f>
        <v/>
      </c>
      <c r="N238" s="37" t="str">
        <f aca="false">IF(OR($M238="",$K238=""),"",$M238+$K238-1)</f>
        <v/>
      </c>
      <c r="O238" s="37" t="str">
        <f aca="false">IF($A238&lt;&gt;"Seçildi","",IF(OR($M238="",$N238=""),"",IF($N238&gt;10,"⚠ Saat Taşıyor","")))</f>
        <v/>
      </c>
      <c r="P238" s="37" t="str">
        <f aca="false">IF($A238&lt;&gt;"Seçildi","",IF(OR($G238="",$I238="",$M238=""),"",IF(SUMPRODUCT(($A$7:$A$456="Seçildi")*($G$7:$G$456=$G238)*($I$7:$I$456=$I238)*(ROW($A$7:$A$456)&lt;&gt;238)*($M$7:$M$456&lt;=$N238)*($N$7:$N$456&gt;=$M238))&gt;0,"⚠ Çakışma","OK")))</f>
        <v/>
      </c>
      <c r="Q238" s="37" t="str">
        <f aca="false">IF($A238&lt;&gt;"Seçildi","",IF(OR($L238="",$I238="",$M238=""),"",IF(SUMPRODUCT(($A$7:$A$456="Seçildi")*($L$7:$L$456=$L238)*($I$7:$I$456=$I238)*(ROW($A$7:$A$456)&lt;&gt;238)*($M$7:$M$456&lt;=$N238)*($N$7:$N$456&gt;=$M238))&gt;0,"⚠ Çakışma","OK")))</f>
        <v/>
      </c>
      <c r="R238" s="37" t="str">
        <f aca="false">IF($A238&lt;&gt;"Seçildi","",IF(OR($D238="",$I238="",$M238=""),"",IF(SUMPRODUCT(($A$7:$A$456="Seçildi")*($D$7:$D$456=$D238)*($I$7:$I$456=$I238)*(ROW($A$7:$A$456)&lt;&gt;238)*($M$7:$M$456&lt;=$N238)*($N$7:$N$456&gt;=$M238))&gt;0,"⚠ Çakışma","OK")))</f>
        <v/>
      </c>
      <c r="S238" s="37" t="str">
        <f aca="false">IF($A238&lt;&gt;"Seçildi","",IF(SUM($K238,$K239,$K240)&lt;&gt;$F238,"⚠ Dağılım: "&amp;SUM($K238:$K240)&amp;"/"&amp;$F238&amp;" saat","✓ Tamam"))</f>
        <v/>
      </c>
      <c r="T238" s="37" t="str">
        <f aca="false">IF($A238&lt;&gt;"Seçildi","",IF(OR($O238&lt;&gt;"",$P238="⚠ Çakışma",$Q238="⚠ Çakışma",$R238="⚠ Çakışma",LEFT($S238&amp;" ",1)="⚠"),"⚠ Kontrol Et","✓ Uygun"))</f>
        <v/>
      </c>
    </row>
    <row r="239" customFormat="false" ht="13.5" hidden="false" customHeight="true" outlineLevel="0" collapsed="false">
      <c r="A239" s="37" t="str">
        <f aca="false">'1-Ders Havuzu'!K80</f>
        <v>Seçilmedi</v>
      </c>
      <c r="B239" s="37" t="str">
        <f aca="false">IF($A239="Seçildi",IF('1-Ders Havuzu'!C80="","",'1-Ders Havuzu'!C80),"")</f>
        <v/>
      </c>
      <c r="C239" s="38" t="str">
        <f aca="false">IF($A239="Seçildi",IF('1-Ders Havuzu'!D80="","",'1-Ders Havuzu'!D80),"")</f>
        <v/>
      </c>
      <c r="D239" s="37" t="str">
        <f aca="false">IF($A239="Seçildi",IF('1-Ders Havuzu'!B80="","",'1-Ders Havuzu'!B80),"")</f>
        <v/>
      </c>
      <c r="E239" s="37" t="str">
        <f aca="false">IF($A239="Seçildi",IF('1-Ders Havuzu'!A80="","",'1-Ders Havuzu'!A80),"")</f>
        <v/>
      </c>
      <c r="F239" s="37" t="str">
        <f aca="false">IF($A239="Seçildi",IF('1-Ders Havuzu'!H80="","",'1-Ders Havuzu'!H80),"")</f>
        <v/>
      </c>
      <c r="G239" s="37" t="str">
        <f aca="false">IF($A239="Seçildi",IF('2-Ders-Öğr.Elemanı Eşleştirme'!H80="","",'2-Ders-Öğr.Elemanı Eşleştirme'!H80),"")</f>
        <v/>
      </c>
      <c r="H239" s="39" t="n">
        <v>2</v>
      </c>
      <c r="I239" s="36"/>
      <c r="J239" s="36"/>
      <c r="K239" s="36"/>
      <c r="L239" s="36"/>
      <c r="M239" s="37" t="str">
        <f aca="false">IF($J239="","",MATCH($J239,{"08.00";"09.00";"10.00";"11.00";"12.00";"13.00";"14.00";"15.00";"16.00";"17.00"},0))</f>
        <v/>
      </c>
      <c r="N239" s="37" t="str">
        <f aca="false">IF(OR($M239="",$K239=""),"",$M239+$K239-1)</f>
        <v/>
      </c>
      <c r="O239" s="37" t="str">
        <f aca="false">IF($A239&lt;&gt;"Seçildi","",IF(OR($M239="",$N239=""),"",IF($N239&gt;10,"⚠ Saat Taşıyor","")))</f>
        <v/>
      </c>
      <c r="P239" s="37" t="str">
        <f aca="false">IF($A239&lt;&gt;"Seçildi","",IF(OR($G239="",$I239="",$M239=""),"",IF(SUMPRODUCT(($A$7:$A$456="Seçildi")*($G$7:$G$456=$G239)*($I$7:$I$456=$I239)*(ROW($A$7:$A$456)&lt;&gt;239)*($M$7:$M$456&lt;=$N239)*($N$7:$N$456&gt;=$M239))&gt;0,"⚠ Çakışma","OK")))</f>
        <v/>
      </c>
      <c r="Q239" s="37" t="str">
        <f aca="false">IF($A239&lt;&gt;"Seçildi","",IF(OR($L239="",$I239="",$M239=""),"",IF(SUMPRODUCT(($A$7:$A$456="Seçildi")*($L$7:$L$456=$L239)*($I$7:$I$456=$I239)*(ROW($A$7:$A$456)&lt;&gt;239)*($M$7:$M$456&lt;=$N239)*($N$7:$N$456&gt;=$M239))&gt;0,"⚠ Çakışma","OK")))</f>
        <v/>
      </c>
      <c r="R239" s="37" t="str">
        <f aca="false">IF($A239&lt;&gt;"Seçildi","",IF(OR($D239="",$I239="",$M239=""),"",IF(SUMPRODUCT(($A$7:$A$456="Seçildi")*($D$7:$D$456=$D239)*($I$7:$I$456=$I239)*(ROW($A$7:$A$456)&lt;&gt;239)*($M$7:$M$456&lt;=$N239)*($N$7:$N$456&gt;=$M239))&gt;0,"⚠ Çakışma","OK")))</f>
        <v/>
      </c>
      <c r="S239" s="37"/>
      <c r="T239" s="37" t="str">
        <f aca="false">IF(OR($A239&lt;&gt;"Seçildi",AND($I239="",$J239="")),"",IF(OR($O239&lt;&gt;"",$P239="⚠ Çakışma",$Q239="⚠ Çakışma",$R239="⚠ Çakışma"),"⚠ Kontrol Et","✓ Uygun"))</f>
        <v/>
      </c>
    </row>
    <row r="240" customFormat="false" ht="13.5" hidden="false" customHeight="true" outlineLevel="0" collapsed="false">
      <c r="A240" s="37" t="str">
        <f aca="false">'1-Ders Havuzu'!K80</f>
        <v>Seçilmedi</v>
      </c>
      <c r="B240" s="37" t="str">
        <f aca="false">IF($A240="Seçildi",IF('1-Ders Havuzu'!C80="","",'1-Ders Havuzu'!C80),"")</f>
        <v/>
      </c>
      <c r="C240" s="38" t="str">
        <f aca="false">IF($A240="Seçildi",IF('1-Ders Havuzu'!D80="","",'1-Ders Havuzu'!D80),"")</f>
        <v/>
      </c>
      <c r="D240" s="37" t="str">
        <f aca="false">IF($A240="Seçildi",IF('1-Ders Havuzu'!B80="","",'1-Ders Havuzu'!B80),"")</f>
        <v/>
      </c>
      <c r="E240" s="37" t="str">
        <f aca="false">IF($A240="Seçildi",IF('1-Ders Havuzu'!A80="","",'1-Ders Havuzu'!A80),"")</f>
        <v/>
      </c>
      <c r="F240" s="37" t="str">
        <f aca="false">IF($A240="Seçildi",IF('1-Ders Havuzu'!H80="","",'1-Ders Havuzu'!H80),"")</f>
        <v/>
      </c>
      <c r="G240" s="37" t="str">
        <f aca="false">IF($A240="Seçildi",IF('2-Ders-Öğr.Elemanı Eşleştirme'!H80="","",'2-Ders-Öğr.Elemanı Eşleştirme'!H80),"")</f>
        <v/>
      </c>
      <c r="H240" s="39" t="n">
        <v>3</v>
      </c>
      <c r="I240" s="36"/>
      <c r="J240" s="36"/>
      <c r="K240" s="36"/>
      <c r="L240" s="36"/>
      <c r="M240" s="37" t="str">
        <f aca="false">IF($J240="","",MATCH($J240,{"08.00";"09.00";"10.00";"11.00";"12.00";"13.00";"14.00";"15.00";"16.00";"17.00"},0))</f>
        <v/>
      </c>
      <c r="N240" s="37" t="str">
        <f aca="false">IF(OR($M240="",$K240=""),"",$M240+$K240-1)</f>
        <v/>
      </c>
      <c r="O240" s="37" t="str">
        <f aca="false">IF($A240&lt;&gt;"Seçildi","",IF(OR($M240="",$N240=""),"",IF($N240&gt;10,"⚠ Saat Taşıyor","")))</f>
        <v/>
      </c>
      <c r="P240" s="37" t="str">
        <f aca="false">IF($A240&lt;&gt;"Seçildi","",IF(OR($G240="",$I240="",$M240=""),"",IF(SUMPRODUCT(($A$7:$A$456="Seçildi")*($G$7:$G$456=$G240)*($I$7:$I$456=$I240)*(ROW($A$7:$A$456)&lt;&gt;240)*($M$7:$M$456&lt;=$N240)*($N$7:$N$456&gt;=$M240))&gt;0,"⚠ Çakışma","OK")))</f>
        <v/>
      </c>
      <c r="Q240" s="37" t="str">
        <f aca="false">IF($A240&lt;&gt;"Seçildi","",IF(OR($L240="",$I240="",$M240=""),"",IF(SUMPRODUCT(($A$7:$A$456="Seçildi")*($L$7:$L$456=$L240)*($I$7:$I$456=$I240)*(ROW($A$7:$A$456)&lt;&gt;240)*($M$7:$M$456&lt;=$N240)*($N$7:$N$456&gt;=$M240))&gt;0,"⚠ Çakışma","OK")))</f>
        <v/>
      </c>
      <c r="R240" s="37" t="str">
        <f aca="false">IF($A240&lt;&gt;"Seçildi","",IF(OR($D240="",$I240="",$M240=""),"",IF(SUMPRODUCT(($A$7:$A$456="Seçildi")*($D$7:$D$456=$D240)*($I$7:$I$456=$I240)*(ROW($A$7:$A$456)&lt;&gt;240)*($M$7:$M$456&lt;=$N240)*($N$7:$N$456&gt;=$M240))&gt;0,"⚠ Çakışma","OK")))</f>
        <v/>
      </c>
      <c r="S240" s="37"/>
      <c r="T240" s="37" t="str">
        <f aca="false">IF(OR($A240&lt;&gt;"Seçildi",AND($I240="",$J240="")),"",IF(OR($O240&lt;&gt;"",$P240="⚠ Çakışma",$Q240="⚠ Çakışma",$R240="⚠ Çakışma"),"⚠ Kontrol Et","✓ Uygun"))</f>
        <v/>
      </c>
    </row>
    <row r="241" customFormat="false" ht="13.5" hidden="false" customHeight="true" outlineLevel="0" collapsed="false">
      <c r="A241" s="33" t="str">
        <f aca="false">'1-Ders Havuzu'!K81</f>
        <v>Seçilmedi</v>
      </c>
      <c r="B241" s="33" t="str">
        <f aca="false">IF($A241="Seçildi",IF('1-Ders Havuzu'!C81="","",'1-Ders Havuzu'!C81),"")</f>
        <v/>
      </c>
      <c r="C241" s="34" t="str">
        <f aca="false">IF($A241="Seçildi",IF('1-Ders Havuzu'!D81="","",'1-Ders Havuzu'!D81),"")</f>
        <v/>
      </c>
      <c r="D241" s="33" t="str">
        <f aca="false">IF($A241="Seçildi",IF('1-Ders Havuzu'!B81="","",'1-Ders Havuzu'!B81),"")</f>
        <v/>
      </c>
      <c r="E241" s="33" t="str">
        <f aca="false">IF($A241="Seçildi",IF('1-Ders Havuzu'!A81="","",'1-Ders Havuzu'!A81),"")</f>
        <v/>
      </c>
      <c r="F241" s="33" t="str">
        <f aca="false">IF($A241="Seçildi",IF('1-Ders Havuzu'!H81="","",'1-Ders Havuzu'!H81),"")</f>
        <v/>
      </c>
      <c r="G241" s="33" t="str">
        <f aca="false">IF($A241="Seçildi",IF('2-Ders-Öğr.Elemanı Eşleştirme'!H81="","",'2-Ders-Öğr.Elemanı Eşleştirme'!H81),"")</f>
        <v/>
      </c>
      <c r="H241" s="35" t="n">
        <v>1</v>
      </c>
      <c r="I241" s="36"/>
      <c r="J241" s="36"/>
      <c r="K241" s="36"/>
      <c r="L241" s="36"/>
      <c r="M241" s="33" t="str">
        <f aca="false">IF($J241="","",MATCH($J241,{"08.00";"09.00";"10.00";"11.00";"12.00";"13.00";"14.00";"15.00";"16.00";"17.00"},0))</f>
        <v/>
      </c>
      <c r="N241" s="33" t="str">
        <f aca="false">IF(OR($M241="",$K241=""),"",$M241+$K241-1)</f>
        <v/>
      </c>
      <c r="O241" s="33" t="str">
        <f aca="false">IF($A241&lt;&gt;"Seçildi","",IF(OR($M241="",$N241=""),"",IF($N241&gt;10,"⚠ Saat Taşıyor","")))</f>
        <v/>
      </c>
      <c r="P241" s="33" t="str">
        <f aca="false">IF($A241&lt;&gt;"Seçildi","",IF(OR($G241="",$I241="",$M241=""),"",IF(SUMPRODUCT(($A$7:$A$456="Seçildi")*($G$7:$G$456=$G241)*($I$7:$I$456=$I241)*(ROW($A$7:$A$456)&lt;&gt;241)*($M$7:$M$456&lt;=$N241)*($N$7:$N$456&gt;=$M241))&gt;0,"⚠ Çakışma","OK")))</f>
        <v/>
      </c>
      <c r="Q241" s="33" t="str">
        <f aca="false">IF($A241&lt;&gt;"Seçildi","",IF(OR($L241="",$I241="",$M241=""),"",IF(SUMPRODUCT(($A$7:$A$456="Seçildi")*($L$7:$L$456=$L241)*($I$7:$I$456=$I241)*(ROW($A$7:$A$456)&lt;&gt;241)*($M$7:$M$456&lt;=$N241)*($N$7:$N$456&gt;=$M241))&gt;0,"⚠ Çakışma","OK")))</f>
        <v/>
      </c>
      <c r="R241" s="33" t="str">
        <f aca="false">IF($A241&lt;&gt;"Seçildi","",IF(OR($D241="",$I241="",$M241=""),"",IF(SUMPRODUCT(($A$7:$A$456="Seçildi")*($D$7:$D$456=$D241)*($I$7:$I$456=$I241)*(ROW($A$7:$A$456)&lt;&gt;241)*($M$7:$M$456&lt;=$N241)*($N$7:$N$456&gt;=$M241))&gt;0,"⚠ Çakışma","OK")))</f>
        <v/>
      </c>
      <c r="S241" s="33" t="str">
        <f aca="false">IF($A241&lt;&gt;"Seçildi","",IF(SUM($K241,$K242,$K243)&lt;&gt;$F241,"⚠ Dağılım: "&amp;SUM($K241:$K243)&amp;"/"&amp;$F241&amp;" saat","✓ Tamam"))</f>
        <v/>
      </c>
      <c r="T241" s="33" t="str">
        <f aca="false">IF($A241&lt;&gt;"Seçildi","",IF(OR($O241&lt;&gt;"",$P241="⚠ Çakışma",$Q241="⚠ Çakışma",$R241="⚠ Çakışma",LEFT($S241&amp;" ",1)="⚠"),"⚠ Kontrol Et","✓ Uygun"))</f>
        <v/>
      </c>
    </row>
    <row r="242" customFormat="false" ht="13.5" hidden="false" customHeight="true" outlineLevel="0" collapsed="false">
      <c r="A242" s="33" t="str">
        <f aca="false">'1-Ders Havuzu'!K81</f>
        <v>Seçilmedi</v>
      </c>
      <c r="B242" s="33" t="str">
        <f aca="false">IF($A242="Seçildi",IF('1-Ders Havuzu'!C81="","",'1-Ders Havuzu'!C81),"")</f>
        <v/>
      </c>
      <c r="C242" s="34" t="str">
        <f aca="false">IF($A242="Seçildi",IF('1-Ders Havuzu'!D81="","",'1-Ders Havuzu'!D81),"")</f>
        <v/>
      </c>
      <c r="D242" s="33" t="str">
        <f aca="false">IF($A242="Seçildi",IF('1-Ders Havuzu'!B81="","",'1-Ders Havuzu'!B81),"")</f>
        <v/>
      </c>
      <c r="E242" s="33" t="str">
        <f aca="false">IF($A242="Seçildi",IF('1-Ders Havuzu'!A81="","",'1-Ders Havuzu'!A81),"")</f>
        <v/>
      </c>
      <c r="F242" s="33" t="str">
        <f aca="false">IF($A242="Seçildi",IF('1-Ders Havuzu'!H81="","",'1-Ders Havuzu'!H81),"")</f>
        <v/>
      </c>
      <c r="G242" s="33" t="str">
        <f aca="false">IF($A242="Seçildi",IF('2-Ders-Öğr.Elemanı Eşleştirme'!H81="","",'2-Ders-Öğr.Elemanı Eşleştirme'!H81),"")</f>
        <v/>
      </c>
      <c r="H242" s="35" t="n">
        <v>2</v>
      </c>
      <c r="I242" s="36"/>
      <c r="J242" s="36"/>
      <c r="K242" s="36"/>
      <c r="L242" s="36"/>
      <c r="M242" s="33" t="str">
        <f aca="false">IF($J242="","",MATCH($J242,{"08.00";"09.00";"10.00";"11.00";"12.00";"13.00";"14.00";"15.00";"16.00";"17.00"},0))</f>
        <v/>
      </c>
      <c r="N242" s="33" t="str">
        <f aca="false">IF(OR($M242="",$K242=""),"",$M242+$K242-1)</f>
        <v/>
      </c>
      <c r="O242" s="33" t="str">
        <f aca="false">IF($A242&lt;&gt;"Seçildi","",IF(OR($M242="",$N242=""),"",IF($N242&gt;10,"⚠ Saat Taşıyor","")))</f>
        <v/>
      </c>
      <c r="P242" s="33" t="str">
        <f aca="false">IF($A242&lt;&gt;"Seçildi","",IF(OR($G242="",$I242="",$M242=""),"",IF(SUMPRODUCT(($A$7:$A$456="Seçildi")*($G$7:$G$456=$G242)*($I$7:$I$456=$I242)*(ROW($A$7:$A$456)&lt;&gt;242)*($M$7:$M$456&lt;=$N242)*($N$7:$N$456&gt;=$M242))&gt;0,"⚠ Çakışma","OK")))</f>
        <v/>
      </c>
      <c r="Q242" s="33" t="str">
        <f aca="false">IF($A242&lt;&gt;"Seçildi","",IF(OR($L242="",$I242="",$M242=""),"",IF(SUMPRODUCT(($A$7:$A$456="Seçildi")*($L$7:$L$456=$L242)*($I$7:$I$456=$I242)*(ROW($A$7:$A$456)&lt;&gt;242)*($M$7:$M$456&lt;=$N242)*($N$7:$N$456&gt;=$M242))&gt;0,"⚠ Çakışma","OK")))</f>
        <v/>
      </c>
      <c r="R242" s="33" t="str">
        <f aca="false">IF($A242&lt;&gt;"Seçildi","",IF(OR($D242="",$I242="",$M242=""),"",IF(SUMPRODUCT(($A$7:$A$456="Seçildi")*($D$7:$D$456=$D242)*($I$7:$I$456=$I242)*(ROW($A$7:$A$456)&lt;&gt;242)*($M$7:$M$456&lt;=$N242)*($N$7:$N$456&gt;=$M242))&gt;0,"⚠ Çakışma","OK")))</f>
        <v/>
      </c>
      <c r="S242" s="33"/>
      <c r="T242" s="33" t="str">
        <f aca="false">IF(OR($A242&lt;&gt;"Seçildi",AND($I242="",$J242="")),"",IF(OR($O242&lt;&gt;"",$P242="⚠ Çakışma",$Q242="⚠ Çakışma",$R242="⚠ Çakışma"),"⚠ Kontrol Et","✓ Uygun"))</f>
        <v/>
      </c>
    </row>
    <row r="243" customFormat="false" ht="13.5" hidden="false" customHeight="true" outlineLevel="0" collapsed="false">
      <c r="A243" s="33" t="str">
        <f aca="false">'1-Ders Havuzu'!K81</f>
        <v>Seçilmedi</v>
      </c>
      <c r="B243" s="33" t="str">
        <f aca="false">IF($A243="Seçildi",IF('1-Ders Havuzu'!C81="","",'1-Ders Havuzu'!C81),"")</f>
        <v/>
      </c>
      <c r="C243" s="34" t="str">
        <f aca="false">IF($A243="Seçildi",IF('1-Ders Havuzu'!D81="","",'1-Ders Havuzu'!D81),"")</f>
        <v/>
      </c>
      <c r="D243" s="33" t="str">
        <f aca="false">IF($A243="Seçildi",IF('1-Ders Havuzu'!B81="","",'1-Ders Havuzu'!B81),"")</f>
        <v/>
      </c>
      <c r="E243" s="33" t="str">
        <f aca="false">IF($A243="Seçildi",IF('1-Ders Havuzu'!A81="","",'1-Ders Havuzu'!A81),"")</f>
        <v/>
      </c>
      <c r="F243" s="33" t="str">
        <f aca="false">IF($A243="Seçildi",IF('1-Ders Havuzu'!H81="","",'1-Ders Havuzu'!H81),"")</f>
        <v/>
      </c>
      <c r="G243" s="33" t="str">
        <f aca="false">IF($A243="Seçildi",IF('2-Ders-Öğr.Elemanı Eşleştirme'!H81="","",'2-Ders-Öğr.Elemanı Eşleştirme'!H81),"")</f>
        <v/>
      </c>
      <c r="H243" s="35" t="n">
        <v>3</v>
      </c>
      <c r="I243" s="36"/>
      <c r="J243" s="36"/>
      <c r="K243" s="36"/>
      <c r="L243" s="36"/>
      <c r="M243" s="33" t="str">
        <f aca="false">IF($J243="","",MATCH($J243,{"08.00";"09.00";"10.00";"11.00";"12.00";"13.00";"14.00";"15.00";"16.00";"17.00"},0))</f>
        <v/>
      </c>
      <c r="N243" s="33" t="str">
        <f aca="false">IF(OR($M243="",$K243=""),"",$M243+$K243-1)</f>
        <v/>
      </c>
      <c r="O243" s="33" t="str">
        <f aca="false">IF($A243&lt;&gt;"Seçildi","",IF(OR($M243="",$N243=""),"",IF($N243&gt;10,"⚠ Saat Taşıyor","")))</f>
        <v/>
      </c>
      <c r="P243" s="33" t="str">
        <f aca="false">IF($A243&lt;&gt;"Seçildi","",IF(OR($G243="",$I243="",$M243=""),"",IF(SUMPRODUCT(($A$7:$A$456="Seçildi")*($G$7:$G$456=$G243)*($I$7:$I$456=$I243)*(ROW($A$7:$A$456)&lt;&gt;243)*($M$7:$M$456&lt;=$N243)*($N$7:$N$456&gt;=$M243))&gt;0,"⚠ Çakışma","OK")))</f>
        <v/>
      </c>
      <c r="Q243" s="33" t="str">
        <f aca="false">IF($A243&lt;&gt;"Seçildi","",IF(OR($L243="",$I243="",$M243=""),"",IF(SUMPRODUCT(($A$7:$A$456="Seçildi")*($L$7:$L$456=$L243)*($I$7:$I$456=$I243)*(ROW($A$7:$A$456)&lt;&gt;243)*($M$7:$M$456&lt;=$N243)*($N$7:$N$456&gt;=$M243))&gt;0,"⚠ Çakışma","OK")))</f>
        <v/>
      </c>
      <c r="R243" s="33" t="str">
        <f aca="false">IF($A243&lt;&gt;"Seçildi","",IF(OR($D243="",$I243="",$M243=""),"",IF(SUMPRODUCT(($A$7:$A$456="Seçildi")*($D$7:$D$456=$D243)*($I$7:$I$456=$I243)*(ROW($A$7:$A$456)&lt;&gt;243)*($M$7:$M$456&lt;=$N243)*($N$7:$N$456&gt;=$M243))&gt;0,"⚠ Çakışma","OK")))</f>
        <v/>
      </c>
      <c r="S243" s="33"/>
      <c r="T243" s="33" t="str">
        <f aca="false">IF(OR($A243&lt;&gt;"Seçildi",AND($I243="",$J243="")),"",IF(OR($O243&lt;&gt;"",$P243="⚠ Çakışma",$Q243="⚠ Çakışma",$R243="⚠ Çakışma"),"⚠ Kontrol Et","✓ Uygun"))</f>
        <v/>
      </c>
    </row>
    <row r="244" customFormat="false" ht="13.5" hidden="false" customHeight="true" outlineLevel="0" collapsed="false">
      <c r="A244" s="37" t="str">
        <f aca="false">'1-Ders Havuzu'!K82</f>
        <v>Seçilmedi</v>
      </c>
      <c r="B244" s="37" t="str">
        <f aca="false">IF($A244="Seçildi",IF('1-Ders Havuzu'!C82="","",'1-Ders Havuzu'!C82),"")</f>
        <v/>
      </c>
      <c r="C244" s="38" t="str">
        <f aca="false">IF($A244="Seçildi",IF('1-Ders Havuzu'!D82="","",'1-Ders Havuzu'!D82),"")</f>
        <v/>
      </c>
      <c r="D244" s="37" t="str">
        <f aca="false">IF($A244="Seçildi",IF('1-Ders Havuzu'!B82="","",'1-Ders Havuzu'!B82),"")</f>
        <v/>
      </c>
      <c r="E244" s="37" t="str">
        <f aca="false">IF($A244="Seçildi",IF('1-Ders Havuzu'!A82="","",'1-Ders Havuzu'!A82),"")</f>
        <v/>
      </c>
      <c r="F244" s="37" t="str">
        <f aca="false">IF($A244="Seçildi",IF('1-Ders Havuzu'!H82="","",'1-Ders Havuzu'!H82),"")</f>
        <v/>
      </c>
      <c r="G244" s="37" t="str">
        <f aca="false">IF($A244="Seçildi",IF('2-Ders-Öğr.Elemanı Eşleştirme'!H82="","",'2-Ders-Öğr.Elemanı Eşleştirme'!H82),"")</f>
        <v/>
      </c>
      <c r="H244" s="39" t="n">
        <v>1</v>
      </c>
      <c r="I244" s="36"/>
      <c r="J244" s="36"/>
      <c r="K244" s="36"/>
      <c r="L244" s="36"/>
      <c r="M244" s="37" t="str">
        <f aca="false">IF($J244="","",MATCH($J244,{"08.00";"09.00";"10.00";"11.00";"12.00";"13.00";"14.00";"15.00";"16.00";"17.00"},0))</f>
        <v/>
      </c>
      <c r="N244" s="37" t="str">
        <f aca="false">IF(OR($M244="",$K244=""),"",$M244+$K244-1)</f>
        <v/>
      </c>
      <c r="O244" s="37" t="str">
        <f aca="false">IF($A244&lt;&gt;"Seçildi","",IF(OR($M244="",$N244=""),"",IF($N244&gt;10,"⚠ Saat Taşıyor","")))</f>
        <v/>
      </c>
      <c r="P244" s="37" t="str">
        <f aca="false">IF($A244&lt;&gt;"Seçildi","",IF(OR($G244="",$I244="",$M244=""),"",IF(SUMPRODUCT(($A$7:$A$456="Seçildi")*($G$7:$G$456=$G244)*($I$7:$I$456=$I244)*(ROW($A$7:$A$456)&lt;&gt;244)*($M$7:$M$456&lt;=$N244)*($N$7:$N$456&gt;=$M244))&gt;0,"⚠ Çakışma","OK")))</f>
        <v/>
      </c>
      <c r="Q244" s="37" t="str">
        <f aca="false">IF($A244&lt;&gt;"Seçildi","",IF(OR($L244="",$I244="",$M244=""),"",IF(SUMPRODUCT(($A$7:$A$456="Seçildi")*($L$7:$L$456=$L244)*($I$7:$I$456=$I244)*(ROW($A$7:$A$456)&lt;&gt;244)*($M$7:$M$456&lt;=$N244)*($N$7:$N$456&gt;=$M244))&gt;0,"⚠ Çakışma","OK")))</f>
        <v/>
      </c>
      <c r="R244" s="37" t="str">
        <f aca="false">IF($A244&lt;&gt;"Seçildi","",IF(OR($D244="",$I244="",$M244=""),"",IF(SUMPRODUCT(($A$7:$A$456="Seçildi")*($D$7:$D$456=$D244)*($I$7:$I$456=$I244)*(ROW($A$7:$A$456)&lt;&gt;244)*($M$7:$M$456&lt;=$N244)*($N$7:$N$456&gt;=$M244))&gt;0,"⚠ Çakışma","OK")))</f>
        <v/>
      </c>
      <c r="S244" s="37" t="str">
        <f aca="false">IF($A244&lt;&gt;"Seçildi","",IF(SUM($K244,$K245,$K246)&lt;&gt;$F244,"⚠ Dağılım: "&amp;SUM($K244:$K246)&amp;"/"&amp;$F244&amp;" saat","✓ Tamam"))</f>
        <v/>
      </c>
      <c r="T244" s="37" t="str">
        <f aca="false">IF($A244&lt;&gt;"Seçildi","",IF(OR($O244&lt;&gt;"",$P244="⚠ Çakışma",$Q244="⚠ Çakışma",$R244="⚠ Çakışma",LEFT($S244&amp;" ",1)="⚠"),"⚠ Kontrol Et","✓ Uygun"))</f>
        <v/>
      </c>
    </row>
    <row r="245" customFormat="false" ht="13.5" hidden="false" customHeight="true" outlineLevel="0" collapsed="false">
      <c r="A245" s="37" t="str">
        <f aca="false">'1-Ders Havuzu'!K82</f>
        <v>Seçilmedi</v>
      </c>
      <c r="B245" s="37" t="str">
        <f aca="false">IF($A245="Seçildi",IF('1-Ders Havuzu'!C82="","",'1-Ders Havuzu'!C82),"")</f>
        <v/>
      </c>
      <c r="C245" s="38" t="str">
        <f aca="false">IF($A245="Seçildi",IF('1-Ders Havuzu'!D82="","",'1-Ders Havuzu'!D82),"")</f>
        <v/>
      </c>
      <c r="D245" s="37" t="str">
        <f aca="false">IF($A245="Seçildi",IF('1-Ders Havuzu'!B82="","",'1-Ders Havuzu'!B82),"")</f>
        <v/>
      </c>
      <c r="E245" s="37" t="str">
        <f aca="false">IF($A245="Seçildi",IF('1-Ders Havuzu'!A82="","",'1-Ders Havuzu'!A82),"")</f>
        <v/>
      </c>
      <c r="F245" s="37" t="str">
        <f aca="false">IF($A245="Seçildi",IF('1-Ders Havuzu'!H82="","",'1-Ders Havuzu'!H82),"")</f>
        <v/>
      </c>
      <c r="G245" s="37" t="str">
        <f aca="false">IF($A245="Seçildi",IF('2-Ders-Öğr.Elemanı Eşleştirme'!H82="","",'2-Ders-Öğr.Elemanı Eşleştirme'!H82),"")</f>
        <v/>
      </c>
      <c r="H245" s="39" t="n">
        <v>2</v>
      </c>
      <c r="I245" s="36"/>
      <c r="J245" s="36"/>
      <c r="K245" s="36"/>
      <c r="L245" s="36"/>
      <c r="M245" s="37" t="str">
        <f aca="false">IF($J245="","",MATCH($J245,{"08.00";"09.00";"10.00";"11.00";"12.00";"13.00";"14.00";"15.00";"16.00";"17.00"},0))</f>
        <v/>
      </c>
      <c r="N245" s="37" t="str">
        <f aca="false">IF(OR($M245="",$K245=""),"",$M245+$K245-1)</f>
        <v/>
      </c>
      <c r="O245" s="37" t="str">
        <f aca="false">IF($A245&lt;&gt;"Seçildi","",IF(OR($M245="",$N245=""),"",IF($N245&gt;10,"⚠ Saat Taşıyor","")))</f>
        <v/>
      </c>
      <c r="P245" s="37" t="str">
        <f aca="false">IF($A245&lt;&gt;"Seçildi","",IF(OR($G245="",$I245="",$M245=""),"",IF(SUMPRODUCT(($A$7:$A$456="Seçildi")*($G$7:$G$456=$G245)*($I$7:$I$456=$I245)*(ROW($A$7:$A$456)&lt;&gt;245)*($M$7:$M$456&lt;=$N245)*($N$7:$N$456&gt;=$M245))&gt;0,"⚠ Çakışma","OK")))</f>
        <v/>
      </c>
      <c r="Q245" s="37" t="str">
        <f aca="false">IF($A245&lt;&gt;"Seçildi","",IF(OR($L245="",$I245="",$M245=""),"",IF(SUMPRODUCT(($A$7:$A$456="Seçildi")*($L$7:$L$456=$L245)*($I$7:$I$456=$I245)*(ROW($A$7:$A$456)&lt;&gt;245)*($M$7:$M$456&lt;=$N245)*($N$7:$N$456&gt;=$M245))&gt;0,"⚠ Çakışma","OK")))</f>
        <v/>
      </c>
      <c r="R245" s="37" t="str">
        <f aca="false">IF($A245&lt;&gt;"Seçildi","",IF(OR($D245="",$I245="",$M245=""),"",IF(SUMPRODUCT(($A$7:$A$456="Seçildi")*($D$7:$D$456=$D245)*($I$7:$I$456=$I245)*(ROW($A$7:$A$456)&lt;&gt;245)*($M$7:$M$456&lt;=$N245)*($N$7:$N$456&gt;=$M245))&gt;0,"⚠ Çakışma","OK")))</f>
        <v/>
      </c>
      <c r="S245" s="37"/>
      <c r="T245" s="37" t="str">
        <f aca="false">IF(OR($A245&lt;&gt;"Seçildi",AND($I245="",$J245="")),"",IF(OR($O245&lt;&gt;"",$P245="⚠ Çakışma",$Q245="⚠ Çakışma",$R245="⚠ Çakışma"),"⚠ Kontrol Et","✓ Uygun"))</f>
        <v/>
      </c>
    </row>
    <row r="246" customFormat="false" ht="13.5" hidden="false" customHeight="true" outlineLevel="0" collapsed="false">
      <c r="A246" s="37" t="str">
        <f aca="false">'1-Ders Havuzu'!K82</f>
        <v>Seçilmedi</v>
      </c>
      <c r="B246" s="37" t="str">
        <f aca="false">IF($A246="Seçildi",IF('1-Ders Havuzu'!C82="","",'1-Ders Havuzu'!C82),"")</f>
        <v/>
      </c>
      <c r="C246" s="38" t="str">
        <f aca="false">IF($A246="Seçildi",IF('1-Ders Havuzu'!D82="","",'1-Ders Havuzu'!D82),"")</f>
        <v/>
      </c>
      <c r="D246" s="37" t="str">
        <f aca="false">IF($A246="Seçildi",IF('1-Ders Havuzu'!B82="","",'1-Ders Havuzu'!B82),"")</f>
        <v/>
      </c>
      <c r="E246" s="37" t="str">
        <f aca="false">IF($A246="Seçildi",IF('1-Ders Havuzu'!A82="","",'1-Ders Havuzu'!A82),"")</f>
        <v/>
      </c>
      <c r="F246" s="37" t="str">
        <f aca="false">IF($A246="Seçildi",IF('1-Ders Havuzu'!H82="","",'1-Ders Havuzu'!H82),"")</f>
        <v/>
      </c>
      <c r="G246" s="37" t="str">
        <f aca="false">IF($A246="Seçildi",IF('2-Ders-Öğr.Elemanı Eşleştirme'!H82="","",'2-Ders-Öğr.Elemanı Eşleştirme'!H82),"")</f>
        <v/>
      </c>
      <c r="H246" s="39" t="n">
        <v>3</v>
      </c>
      <c r="I246" s="36"/>
      <c r="J246" s="36"/>
      <c r="K246" s="36"/>
      <c r="L246" s="36"/>
      <c r="M246" s="37" t="str">
        <f aca="false">IF($J246="","",MATCH($J246,{"08.00";"09.00";"10.00";"11.00";"12.00";"13.00";"14.00";"15.00";"16.00";"17.00"},0))</f>
        <v/>
      </c>
      <c r="N246" s="37" t="str">
        <f aca="false">IF(OR($M246="",$K246=""),"",$M246+$K246-1)</f>
        <v/>
      </c>
      <c r="O246" s="37" t="str">
        <f aca="false">IF($A246&lt;&gt;"Seçildi","",IF(OR($M246="",$N246=""),"",IF($N246&gt;10,"⚠ Saat Taşıyor","")))</f>
        <v/>
      </c>
      <c r="P246" s="37" t="str">
        <f aca="false">IF($A246&lt;&gt;"Seçildi","",IF(OR($G246="",$I246="",$M246=""),"",IF(SUMPRODUCT(($A$7:$A$456="Seçildi")*($G$7:$G$456=$G246)*($I$7:$I$456=$I246)*(ROW($A$7:$A$456)&lt;&gt;246)*($M$7:$M$456&lt;=$N246)*($N$7:$N$456&gt;=$M246))&gt;0,"⚠ Çakışma","OK")))</f>
        <v/>
      </c>
      <c r="Q246" s="37" t="str">
        <f aca="false">IF($A246&lt;&gt;"Seçildi","",IF(OR($L246="",$I246="",$M246=""),"",IF(SUMPRODUCT(($A$7:$A$456="Seçildi")*($L$7:$L$456=$L246)*($I$7:$I$456=$I246)*(ROW($A$7:$A$456)&lt;&gt;246)*($M$7:$M$456&lt;=$N246)*($N$7:$N$456&gt;=$M246))&gt;0,"⚠ Çakışma","OK")))</f>
        <v/>
      </c>
      <c r="R246" s="37" t="str">
        <f aca="false">IF($A246&lt;&gt;"Seçildi","",IF(OR($D246="",$I246="",$M246=""),"",IF(SUMPRODUCT(($A$7:$A$456="Seçildi")*($D$7:$D$456=$D246)*($I$7:$I$456=$I246)*(ROW($A$7:$A$456)&lt;&gt;246)*($M$7:$M$456&lt;=$N246)*($N$7:$N$456&gt;=$M246))&gt;0,"⚠ Çakışma","OK")))</f>
        <v/>
      </c>
      <c r="S246" s="37"/>
      <c r="T246" s="37" t="str">
        <f aca="false">IF(OR($A246&lt;&gt;"Seçildi",AND($I246="",$J246="")),"",IF(OR($O246&lt;&gt;"",$P246="⚠ Çakışma",$Q246="⚠ Çakışma",$R246="⚠ Çakışma"),"⚠ Kontrol Et","✓ Uygun"))</f>
        <v/>
      </c>
    </row>
    <row r="247" customFormat="false" ht="13.5" hidden="false" customHeight="true" outlineLevel="0" collapsed="false">
      <c r="A247" s="33" t="str">
        <f aca="false">'1-Ders Havuzu'!K83</f>
        <v>Seçilmedi</v>
      </c>
      <c r="B247" s="33" t="str">
        <f aca="false">IF($A247="Seçildi",IF('1-Ders Havuzu'!C83="","",'1-Ders Havuzu'!C83),"")</f>
        <v/>
      </c>
      <c r="C247" s="34" t="str">
        <f aca="false">IF($A247="Seçildi",IF('1-Ders Havuzu'!D83="","",'1-Ders Havuzu'!D83),"")</f>
        <v/>
      </c>
      <c r="D247" s="33" t="str">
        <f aca="false">IF($A247="Seçildi",IF('1-Ders Havuzu'!B83="","",'1-Ders Havuzu'!B83),"")</f>
        <v/>
      </c>
      <c r="E247" s="33" t="str">
        <f aca="false">IF($A247="Seçildi",IF('1-Ders Havuzu'!A83="","",'1-Ders Havuzu'!A83),"")</f>
        <v/>
      </c>
      <c r="F247" s="33" t="str">
        <f aca="false">IF($A247="Seçildi",IF('1-Ders Havuzu'!H83="","",'1-Ders Havuzu'!H83),"")</f>
        <v/>
      </c>
      <c r="G247" s="33" t="str">
        <f aca="false">IF($A247="Seçildi",IF('2-Ders-Öğr.Elemanı Eşleştirme'!H83="","",'2-Ders-Öğr.Elemanı Eşleştirme'!H83),"")</f>
        <v/>
      </c>
      <c r="H247" s="35" t="n">
        <v>1</v>
      </c>
      <c r="I247" s="36"/>
      <c r="J247" s="36"/>
      <c r="K247" s="36"/>
      <c r="L247" s="36"/>
      <c r="M247" s="33" t="str">
        <f aca="false">IF($J247="","",MATCH($J247,{"08.00";"09.00";"10.00";"11.00";"12.00";"13.00";"14.00";"15.00";"16.00";"17.00"},0))</f>
        <v/>
      </c>
      <c r="N247" s="33" t="str">
        <f aca="false">IF(OR($M247="",$K247=""),"",$M247+$K247-1)</f>
        <v/>
      </c>
      <c r="O247" s="33" t="str">
        <f aca="false">IF($A247&lt;&gt;"Seçildi","",IF(OR($M247="",$N247=""),"",IF($N247&gt;10,"⚠ Saat Taşıyor","")))</f>
        <v/>
      </c>
      <c r="P247" s="33" t="str">
        <f aca="false">IF($A247&lt;&gt;"Seçildi","",IF(OR($G247="",$I247="",$M247=""),"",IF(SUMPRODUCT(($A$7:$A$456="Seçildi")*($G$7:$G$456=$G247)*($I$7:$I$456=$I247)*(ROW($A$7:$A$456)&lt;&gt;247)*($M$7:$M$456&lt;=$N247)*($N$7:$N$456&gt;=$M247))&gt;0,"⚠ Çakışma","OK")))</f>
        <v/>
      </c>
      <c r="Q247" s="33" t="str">
        <f aca="false">IF($A247&lt;&gt;"Seçildi","",IF(OR($L247="",$I247="",$M247=""),"",IF(SUMPRODUCT(($A$7:$A$456="Seçildi")*($L$7:$L$456=$L247)*($I$7:$I$456=$I247)*(ROW($A$7:$A$456)&lt;&gt;247)*($M$7:$M$456&lt;=$N247)*($N$7:$N$456&gt;=$M247))&gt;0,"⚠ Çakışma","OK")))</f>
        <v/>
      </c>
      <c r="R247" s="33" t="str">
        <f aca="false">IF($A247&lt;&gt;"Seçildi","",IF(OR($D247="",$I247="",$M247=""),"",IF(SUMPRODUCT(($A$7:$A$456="Seçildi")*($D$7:$D$456=$D247)*($I$7:$I$456=$I247)*(ROW($A$7:$A$456)&lt;&gt;247)*($M$7:$M$456&lt;=$N247)*($N$7:$N$456&gt;=$M247))&gt;0,"⚠ Çakışma","OK")))</f>
        <v/>
      </c>
      <c r="S247" s="33" t="str">
        <f aca="false">IF($A247&lt;&gt;"Seçildi","",IF(SUM($K247,$K248,$K249)&lt;&gt;$F247,"⚠ Dağılım: "&amp;SUM($K247:$K249)&amp;"/"&amp;$F247&amp;" saat","✓ Tamam"))</f>
        <v/>
      </c>
      <c r="T247" s="33" t="str">
        <f aca="false">IF($A247&lt;&gt;"Seçildi","",IF(OR($O247&lt;&gt;"",$P247="⚠ Çakışma",$Q247="⚠ Çakışma",$R247="⚠ Çakışma",LEFT($S247&amp;" ",1)="⚠"),"⚠ Kontrol Et","✓ Uygun"))</f>
        <v/>
      </c>
    </row>
    <row r="248" customFormat="false" ht="13.5" hidden="false" customHeight="true" outlineLevel="0" collapsed="false">
      <c r="A248" s="33" t="str">
        <f aca="false">'1-Ders Havuzu'!K83</f>
        <v>Seçilmedi</v>
      </c>
      <c r="B248" s="33" t="str">
        <f aca="false">IF($A248="Seçildi",IF('1-Ders Havuzu'!C83="","",'1-Ders Havuzu'!C83),"")</f>
        <v/>
      </c>
      <c r="C248" s="34" t="str">
        <f aca="false">IF($A248="Seçildi",IF('1-Ders Havuzu'!D83="","",'1-Ders Havuzu'!D83),"")</f>
        <v/>
      </c>
      <c r="D248" s="33" t="str">
        <f aca="false">IF($A248="Seçildi",IF('1-Ders Havuzu'!B83="","",'1-Ders Havuzu'!B83),"")</f>
        <v/>
      </c>
      <c r="E248" s="33" t="str">
        <f aca="false">IF($A248="Seçildi",IF('1-Ders Havuzu'!A83="","",'1-Ders Havuzu'!A83),"")</f>
        <v/>
      </c>
      <c r="F248" s="33" t="str">
        <f aca="false">IF($A248="Seçildi",IF('1-Ders Havuzu'!H83="","",'1-Ders Havuzu'!H83),"")</f>
        <v/>
      </c>
      <c r="G248" s="33" t="str">
        <f aca="false">IF($A248="Seçildi",IF('2-Ders-Öğr.Elemanı Eşleştirme'!H83="","",'2-Ders-Öğr.Elemanı Eşleştirme'!H83),"")</f>
        <v/>
      </c>
      <c r="H248" s="35" t="n">
        <v>2</v>
      </c>
      <c r="I248" s="36"/>
      <c r="J248" s="36"/>
      <c r="K248" s="36"/>
      <c r="L248" s="36"/>
      <c r="M248" s="33" t="str">
        <f aca="false">IF($J248="","",MATCH($J248,{"08.00";"09.00";"10.00";"11.00";"12.00";"13.00";"14.00";"15.00";"16.00";"17.00"},0))</f>
        <v/>
      </c>
      <c r="N248" s="33" t="str">
        <f aca="false">IF(OR($M248="",$K248=""),"",$M248+$K248-1)</f>
        <v/>
      </c>
      <c r="O248" s="33" t="str">
        <f aca="false">IF($A248&lt;&gt;"Seçildi","",IF(OR($M248="",$N248=""),"",IF($N248&gt;10,"⚠ Saat Taşıyor","")))</f>
        <v/>
      </c>
      <c r="P248" s="33" t="str">
        <f aca="false">IF($A248&lt;&gt;"Seçildi","",IF(OR($G248="",$I248="",$M248=""),"",IF(SUMPRODUCT(($A$7:$A$456="Seçildi")*($G$7:$G$456=$G248)*($I$7:$I$456=$I248)*(ROW($A$7:$A$456)&lt;&gt;248)*($M$7:$M$456&lt;=$N248)*($N$7:$N$456&gt;=$M248))&gt;0,"⚠ Çakışma","OK")))</f>
        <v/>
      </c>
      <c r="Q248" s="33" t="str">
        <f aca="false">IF($A248&lt;&gt;"Seçildi","",IF(OR($L248="",$I248="",$M248=""),"",IF(SUMPRODUCT(($A$7:$A$456="Seçildi")*($L$7:$L$456=$L248)*($I$7:$I$456=$I248)*(ROW($A$7:$A$456)&lt;&gt;248)*($M$7:$M$456&lt;=$N248)*($N$7:$N$456&gt;=$M248))&gt;0,"⚠ Çakışma","OK")))</f>
        <v/>
      </c>
      <c r="R248" s="33" t="str">
        <f aca="false">IF($A248&lt;&gt;"Seçildi","",IF(OR($D248="",$I248="",$M248=""),"",IF(SUMPRODUCT(($A$7:$A$456="Seçildi")*($D$7:$D$456=$D248)*($I$7:$I$456=$I248)*(ROW($A$7:$A$456)&lt;&gt;248)*($M$7:$M$456&lt;=$N248)*($N$7:$N$456&gt;=$M248))&gt;0,"⚠ Çakışma","OK")))</f>
        <v/>
      </c>
      <c r="S248" s="33"/>
      <c r="T248" s="33" t="str">
        <f aca="false">IF(OR($A248&lt;&gt;"Seçildi",AND($I248="",$J248="")),"",IF(OR($O248&lt;&gt;"",$P248="⚠ Çakışma",$Q248="⚠ Çakışma",$R248="⚠ Çakışma"),"⚠ Kontrol Et","✓ Uygun"))</f>
        <v/>
      </c>
    </row>
    <row r="249" customFormat="false" ht="13.5" hidden="false" customHeight="true" outlineLevel="0" collapsed="false">
      <c r="A249" s="33" t="str">
        <f aca="false">'1-Ders Havuzu'!K83</f>
        <v>Seçilmedi</v>
      </c>
      <c r="B249" s="33" t="str">
        <f aca="false">IF($A249="Seçildi",IF('1-Ders Havuzu'!C83="","",'1-Ders Havuzu'!C83),"")</f>
        <v/>
      </c>
      <c r="C249" s="34" t="str">
        <f aca="false">IF($A249="Seçildi",IF('1-Ders Havuzu'!D83="","",'1-Ders Havuzu'!D83),"")</f>
        <v/>
      </c>
      <c r="D249" s="33" t="str">
        <f aca="false">IF($A249="Seçildi",IF('1-Ders Havuzu'!B83="","",'1-Ders Havuzu'!B83),"")</f>
        <v/>
      </c>
      <c r="E249" s="33" t="str">
        <f aca="false">IF($A249="Seçildi",IF('1-Ders Havuzu'!A83="","",'1-Ders Havuzu'!A83),"")</f>
        <v/>
      </c>
      <c r="F249" s="33" t="str">
        <f aca="false">IF($A249="Seçildi",IF('1-Ders Havuzu'!H83="","",'1-Ders Havuzu'!H83),"")</f>
        <v/>
      </c>
      <c r="G249" s="33" t="str">
        <f aca="false">IF($A249="Seçildi",IF('2-Ders-Öğr.Elemanı Eşleştirme'!H83="","",'2-Ders-Öğr.Elemanı Eşleştirme'!H83),"")</f>
        <v/>
      </c>
      <c r="H249" s="35" t="n">
        <v>3</v>
      </c>
      <c r="I249" s="36"/>
      <c r="J249" s="36"/>
      <c r="K249" s="36"/>
      <c r="L249" s="36"/>
      <c r="M249" s="33" t="str">
        <f aca="false">IF($J249="","",MATCH($J249,{"08.00";"09.00";"10.00";"11.00";"12.00";"13.00";"14.00";"15.00";"16.00";"17.00"},0))</f>
        <v/>
      </c>
      <c r="N249" s="33" t="str">
        <f aca="false">IF(OR($M249="",$K249=""),"",$M249+$K249-1)</f>
        <v/>
      </c>
      <c r="O249" s="33" t="str">
        <f aca="false">IF($A249&lt;&gt;"Seçildi","",IF(OR($M249="",$N249=""),"",IF($N249&gt;10,"⚠ Saat Taşıyor","")))</f>
        <v/>
      </c>
      <c r="P249" s="33" t="str">
        <f aca="false">IF($A249&lt;&gt;"Seçildi","",IF(OR($G249="",$I249="",$M249=""),"",IF(SUMPRODUCT(($A$7:$A$456="Seçildi")*($G$7:$G$456=$G249)*($I$7:$I$456=$I249)*(ROW($A$7:$A$456)&lt;&gt;249)*($M$7:$M$456&lt;=$N249)*($N$7:$N$456&gt;=$M249))&gt;0,"⚠ Çakışma","OK")))</f>
        <v/>
      </c>
      <c r="Q249" s="33" t="str">
        <f aca="false">IF($A249&lt;&gt;"Seçildi","",IF(OR($L249="",$I249="",$M249=""),"",IF(SUMPRODUCT(($A$7:$A$456="Seçildi")*($L$7:$L$456=$L249)*($I$7:$I$456=$I249)*(ROW($A$7:$A$456)&lt;&gt;249)*($M$7:$M$456&lt;=$N249)*($N$7:$N$456&gt;=$M249))&gt;0,"⚠ Çakışma","OK")))</f>
        <v/>
      </c>
      <c r="R249" s="33" t="str">
        <f aca="false">IF($A249&lt;&gt;"Seçildi","",IF(OR($D249="",$I249="",$M249=""),"",IF(SUMPRODUCT(($A$7:$A$456="Seçildi")*($D$7:$D$456=$D249)*($I$7:$I$456=$I249)*(ROW($A$7:$A$456)&lt;&gt;249)*($M$7:$M$456&lt;=$N249)*($N$7:$N$456&gt;=$M249))&gt;0,"⚠ Çakışma","OK")))</f>
        <v/>
      </c>
      <c r="S249" s="33"/>
      <c r="T249" s="33" t="str">
        <f aca="false">IF(OR($A249&lt;&gt;"Seçildi",AND($I249="",$J249="")),"",IF(OR($O249&lt;&gt;"",$P249="⚠ Çakışma",$Q249="⚠ Çakışma",$R249="⚠ Çakışma"),"⚠ Kontrol Et","✓ Uygun"))</f>
        <v/>
      </c>
    </row>
    <row r="250" customFormat="false" ht="13.5" hidden="false" customHeight="true" outlineLevel="0" collapsed="false">
      <c r="A250" s="37" t="str">
        <f aca="false">'1-Ders Havuzu'!K84</f>
        <v>Seçilmedi</v>
      </c>
      <c r="B250" s="37" t="str">
        <f aca="false">IF($A250="Seçildi",IF('1-Ders Havuzu'!C84="","",'1-Ders Havuzu'!C84),"")</f>
        <v/>
      </c>
      <c r="C250" s="38" t="str">
        <f aca="false">IF($A250="Seçildi",IF('1-Ders Havuzu'!D84="","",'1-Ders Havuzu'!D84),"")</f>
        <v/>
      </c>
      <c r="D250" s="37" t="str">
        <f aca="false">IF($A250="Seçildi",IF('1-Ders Havuzu'!B84="","",'1-Ders Havuzu'!B84),"")</f>
        <v/>
      </c>
      <c r="E250" s="37" t="str">
        <f aca="false">IF($A250="Seçildi",IF('1-Ders Havuzu'!A84="","",'1-Ders Havuzu'!A84),"")</f>
        <v/>
      </c>
      <c r="F250" s="37" t="str">
        <f aca="false">IF($A250="Seçildi",IF('1-Ders Havuzu'!H84="","",'1-Ders Havuzu'!H84),"")</f>
        <v/>
      </c>
      <c r="G250" s="37" t="str">
        <f aca="false">IF($A250="Seçildi",IF('2-Ders-Öğr.Elemanı Eşleştirme'!H84="","",'2-Ders-Öğr.Elemanı Eşleştirme'!H84),"")</f>
        <v/>
      </c>
      <c r="H250" s="39" t="n">
        <v>1</v>
      </c>
      <c r="I250" s="36"/>
      <c r="J250" s="36"/>
      <c r="K250" s="36"/>
      <c r="L250" s="36"/>
      <c r="M250" s="37" t="str">
        <f aca="false">IF($J250="","",MATCH($J250,{"08.00";"09.00";"10.00";"11.00";"12.00";"13.00";"14.00";"15.00";"16.00";"17.00"},0))</f>
        <v/>
      </c>
      <c r="N250" s="37" t="str">
        <f aca="false">IF(OR($M250="",$K250=""),"",$M250+$K250-1)</f>
        <v/>
      </c>
      <c r="O250" s="37" t="str">
        <f aca="false">IF($A250&lt;&gt;"Seçildi","",IF(OR($M250="",$N250=""),"",IF($N250&gt;10,"⚠ Saat Taşıyor","")))</f>
        <v/>
      </c>
      <c r="P250" s="37" t="str">
        <f aca="false">IF($A250&lt;&gt;"Seçildi","",IF(OR($G250="",$I250="",$M250=""),"",IF(SUMPRODUCT(($A$7:$A$456="Seçildi")*($G$7:$G$456=$G250)*($I$7:$I$456=$I250)*(ROW($A$7:$A$456)&lt;&gt;250)*($M$7:$M$456&lt;=$N250)*($N$7:$N$456&gt;=$M250))&gt;0,"⚠ Çakışma","OK")))</f>
        <v/>
      </c>
      <c r="Q250" s="37" t="str">
        <f aca="false">IF($A250&lt;&gt;"Seçildi","",IF(OR($L250="",$I250="",$M250=""),"",IF(SUMPRODUCT(($A$7:$A$456="Seçildi")*($L$7:$L$456=$L250)*($I$7:$I$456=$I250)*(ROW($A$7:$A$456)&lt;&gt;250)*($M$7:$M$456&lt;=$N250)*($N$7:$N$456&gt;=$M250))&gt;0,"⚠ Çakışma","OK")))</f>
        <v/>
      </c>
      <c r="R250" s="37" t="str">
        <f aca="false">IF($A250&lt;&gt;"Seçildi","",IF(OR($D250="",$I250="",$M250=""),"",IF(SUMPRODUCT(($A$7:$A$456="Seçildi")*($D$7:$D$456=$D250)*($I$7:$I$456=$I250)*(ROW($A$7:$A$456)&lt;&gt;250)*($M$7:$M$456&lt;=$N250)*($N$7:$N$456&gt;=$M250))&gt;0,"⚠ Çakışma","OK")))</f>
        <v/>
      </c>
      <c r="S250" s="37" t="str">
        <f aca="false">IF($A250&lt;&gt;"Seçildi","",IF(SUM($K250,$K251,$K252)&lt;&gt;$F250,"⚠ Dağılım: "&amp;SUM($K250:$K252)&amp;"/"&amp;$F250&amp;" saat","✓ Tamam"))</f>
        <v/>
      </c>
      <c r="T250" s="37" t="str">
        <f aca="false">IF($A250&lt;&gt;"Seçildi","",IF(OR($O250&lt;&gt;"",$P250="⚠ Çakışma",$Q250="⚠ Çakışma",$R250="⚠ Çakışma",LEFT($S250&amp;" ",1)="⚠"),"⚠ Kontrol Et","✓ Uygun"))</f>
        <v/>
      </c>
    </row>
    <row r="251" customFormat="false" ht="13.5" hidden="false" customHeight="true" outlineLevel="0" collapsed="false">
      <c r="A251" s="37" t="str">
        <f aca="false">'1-Ders Havuzu'!K84</f>
        <v>Seçilmedi</v>
      </c>
      <c r="B251" s="37" t="str">
        <f aca="false">IF($A251="Seçildi",IF('1-Ders Havuzu'!C84="","",'1-Ders Havuzu'!C84),"")</f>
        <v/>
      </c>
      <c r="C251" s="38" t="str">
        <f aca="false">IF($A251="Seçildi",IF('1-Ders Havuzu'!D84="","",'1-Ders Havuzu'!D84),"")</f>
        <v/>
      </c>
      <c r="D251" s="37" t="str">
        <f aca="false">IF($A251="Seçildi",IF('1-Ders Havuzu'!B84="","",'1-Ders Havuzu'!B84),"")</f>
        <v/>
      </c>
      <c r="E251" s="37" t="str">
        <f aca="false">IF($A251="Seçildi",IF('1-Ders Havuzu'!A84="","",'1-Ders Havuzu'!A84),"")</f>
        <v/>
      </c>
      <c r="F251" s="37" t="str">
        <f aca="false">IF($A251="Seçildi",IF('1-Ders Havuzu'!H84="","",'1-Ders Havuzu'!H84),"")</f>
        <v/>
      </c>
      <c r="G251" s="37" t="str">
        <f aca="false">IF($A251="Seçildi",IF('2-Ders-Öğr.Elemanı Eşleştirme'!H84="","",'2-Ders-Öğr.Elemanı Eşleştirme'!H84),"")</f>
        <v/>
      </c>
      <c r="H251" s="39" t="n">
        <v>2</v>
      </c>
      <c r="I251" s="36"/>
      <c r="J251" s="36"/>
      <c r="K251" s="36"/>
      <c r="L251" s="36"/>
      <c r="M251" s="37" t="str">
        <f aca="false">IF($J251="","",MATCH($J251,{"08.00";"09.00";"10.00";"11.00";"12.00";"13.00";"14.00";"15.00";"16.00";"17.00"},0))</f>
        <v/>
      </c>
      <c r="N251" s="37" t="str">
        <f aca="false">IF(OR($M251="",$K251=""),"",$M251+$K251-1)</f>
        <v/>
      </c>
      <c r="O251" s="37" t="str">
        <f aca="false">IF($A251&lt;&gt;"Seçildi","",IF(OR($M251="",$N251=""),"",IF($N251&gt;10,"⚠ Saat Taşıyor","")))</f>
        <v/>
      </c>
      <c r="P251" s="37" t="str">
        <f aca="false">IF($A251&lt;&gt;"Seçildi","",IF(OR($G251="",$I251="",$M251=""),"",IF(SUMPRODUCT(($A$7:$A$456="Seçildi")*($G$7:$G$456=$G251)*($I$7:$I$456=$I251)*(ROW($A$7:$A$456)&lt;&gt;251)*($M$7:$M$456&lt;=$N251)*($N$7:$N$456&gt;=$M251))&gt;0,"⚠ Çakışma","OK")))</f>
        <v/>
      </c>
      <c r="Q251" s="37" t="str">
        <f aca="false">IF($A251&lt;&gt;"Seçildi","",IF(OR($L251="",$I251="",$M251=""),"",IF(SUMPRODUCT(($A$7:$A$456="Seçildi")*($L$7:$L$456=$L251)*($I$7:$I$456=$I251)*(ROW($A$7:$A$456)&lt;&gt;251)*($M$7:$M$456&lt;=$N251)*($N$7:$N$456&gt;=$M251))&gt;0,"⚠ Çakışma","OK")))</f>
        <v/>
      </c>
      <c r="R251" s="37" t="str">
        <f aca="false">IF($A251&lt;&gt;"Seçildi","",IF(OR($D251="",$I251="",$M251=""),"",IF(SUMPRODUCT(($A$7:$A$456="Seçildi")*($D$7:$D$456=$D251)*($I$7:$I$456=$I251)*(ROW($A$7:$A$456)&lt;&gt;251)*($M$7:$M$456&lt;=$N251)*($N$7:$N$456&gt;=$M251))&gt;0,"⚠ Çakışma","OK")))</f>
        <v/>
      </c>
      <c r="S251" s="37"/>
      <c r="T251" s="37" t="str">
        <f aca="false">IF(OR($A251&lt;&gt;"Seçildi",AND($I251="",$J251="")),"",IF(OR($O251&lt;&gt;"",$P251="⚠ Çakışma",$Q251="⚠ Çakışma",$R251="⚠ Çakışma"),"⚠ Kontrol Et","✓ Uygun"))</f>
        <v/>
      </c>
    </row>
    <row r="252" customFormat="false" ht="13.5" hidden="false" customHeight="true" outlineLevel="0" collapsed="false">
      <c r="A252" s="37" t="str">
        <f aca="false">'1-Ders Havuzu'!K84</f>
        <v>Seçilmedi</v>
      </c>
      <c r="B252" s="37" t="str">
        <f aca="false">IF($A252="Seçildi",IF('1-Ders Havuzu'!C84="","",'1-Ders Havuzu'!C84),"")</f>
        <v/>
      </c>
      <c r="C252" s="38" t="str">
        <f aca="false">IF($A252="Seçildi",IF('1-Ders Havuzu'!D84="","",'1-Ders Havuzu'!D84),"")</f>
        <v/>
      </c>
      <c r="D252" s="37" t="str">
        <f aca="false">IF($A252="Seçildi",IF('1-Ders Havuzu'!B84="","",'1-Ders Havuzu'!B84),"")</f>
        <v/>
      </c>
      <c r="E252" s="37" t="str">
        <f aca="false">IF($A252="Seçildi",IF('1-Ders Havuzu'!A84="","",'1-Ders Havuzu'!A84),"")</f>
        <v/>
      </c>
      <c r="F252" s="37" t="str">
        <f aca="false">IF($A252="Seçildi",IF('1-Ders Havuzu'!H84="","",'1-Ders Havuzu'!H84),"")</f>
        <v/>
      </c>
      <c r="G252" s="37" t="str">
        <f aca="false">IF($A252="Seçildi",IF('2-Ders-Öğr.Elemanı Eşleştirme'!H84="","",'2-Ders-Öğr.Elemanı Eşleştirme'!H84),"")</f>
        <v/>
      </c>
      <c r="H252" s="39" t="n">
        <v>3</v>
      </c>
      <c r="I252" s="36"/>
      <c r="J252" s="36"/>
      <c r="K252" s="36"/>
      <c r="L252" s="36"/>
      <c r="M252" s="37" t="str">
        <f aca="false">IF($J252="","",MATCH($J252,{"08.00";"09.00";"10.00";"11.00";"12.00";"13.00";"14.00";"15.00";"16.00";"17.00"},0))</f>
        <v/>
      </c>
      <c r="N252" s="37" t="str">
        <f aca="false">IF(OR($M252="",$K252=""),"",$M252+$K252-1)</f>
        <v/>
      </c>
      <c r="O252" s="37" t="str">
        <f aca="false">IF($A252&lt;&gt;"Seçildi","",IF(OR($M252="",$N252=""),"",IF($N252&gt;10,"⚠ Saat Taşıyor","")))</f>
        <v/>
      </c>
      <c r="P252" s="37" t="str">
        <f aca="false">IF($A252&lt;&gt;"Seçildi","",IF(OR($G252="",$I252="",$M252=""),"",IF(SUMPRODUCT(($A$7:$A$456="Seçildi")*($G$7:$G$456=$G252)*($I$7:$I$456=$I252)*(ROW($A$7:$A$456)&lt;&gt;252)*($M$7:$M$456&lt;=$N252)*($N$7:$N$456&gt;=$M252))&gt;0,"⚠ Çakışma","OK")))</f>
        <v/>
      </c>
      <c r="Q252" s="37" t="str">
        <f aca="false">IF($A252&lt;&gt;"Seçildi","",IF(OR($L252="",$I252="",$M252=""),"",IF(SUMPRODUCT(($A$7:$A$456="Seçildi")*($L$7:$L$456=$L252)*($I$7:$I$456=$I252)*(ROW($A$7:$A$456)&lt;&gt;252)*($M$7:$M$456&lt;=$N252)*($N$7:$N$456&gt;=$M252))&gt;0,"⚠ Çakışma","OK")))</f>
        <v/>
      </c>
      <c r="R252" s="37" t="str">
        <f aca="false">IF($A252&lt;&gt;"Seçildi","",IF(OR($D252="",$I252="",$M252=""),"",IF(SUMPRODUCT(($A$7:$A$456="Seçildi")*($D$7:$D$456=$D252)*($I$7:$I$456=$I252)*(ROW($A$7:$A$456)&lt;&gt;252)*($M$7:$M$456&lt;=$N252)*($N$7:$N$456&gt;=$M252))&gt;0,"⚠ Çakışma","OK")))</f>
        <v/>
      </c>
      <c r="S252" s="37"/>
      <c r="T252" s="37" t="str">
        <f aca="false">IF(OR($A252&lt;&gt;"Seçildi",AND($I252="",$J252="")),"",IF(OR($O252&lt;&gt;"",$P252="⚠ Çakışma",$Q252="⚠ Çakışma",$R252="⚠ Çakışma"),"⚠ Kontrol Et","✓ Uygun"))</f>
        <v/>
      </c>
    </row>
    <row r="253" customFormat="false" ht="13.5" hidden="false" customHeight="true" outlineLevel="0" collapsed="false">
      <c r="A253" s="33" t="str">
        <f aca="false">'1-Ders Havuzu'!K85</f>
        <v>Seçilmedi</v>
      </c>
      <c r="B253" s="33" t="str">
        <f aca="false">IF($A253="Seçildi",IF('1-Ders Havuzu'!C85="","",'1-Ders Havuzu'!C85),"")</f>
        <v/>
      </c>
      <c r="C253" s="34" t="str">
        <f aca="false">IF($A253="Seçildi",IF('1-Ders Havuzu'!D85="","",'1-Ders Havuzu'!D85),"")</f>
        <v/>
      </c>
      <c r="D253" s="33" t="str">
        <f aca="false">IF($A253="Seçildi",IF('1-Ders Havuzu'!B85="","",'1-Ders Havuzu'!B85),"")</f>
        <v/>
      </c>
      <c r="E253" s="33" t="str">
        <f aca="false">IF($A253="Seçildi",IF('1-Ders Havuzu'!A85="","",'1-Ders Havuzu'!A85),"")</f>
        <v/>
      </c>
      <c r="F253" s="33" t="str">
        <f aca="false">IF($A253="Seçildi",IF('1-Ders Havuzu'!H85="","",'1-Ders Havuzu'!H85),"")</f>
        <v/>
      </c>
      <c r="G253" s="33" t="str">
        <f aca="false">IF($A253="Seçildi",IF('2-Ders-Öğr.Elemanı Eşleştirme'!H85="","",'2-Ders-Öğr.Elemanı Eşleştirme'!H85),"")</f>
        <v/>
      </c>
      <c r="H253" s="35" t="n">
        <v>1</v>
      </c>
      <c r="I253" s="36"/>
      <c r="J253" s="36"/>
      <c r="K253" s="36"/>
      <c r="L253" s="36"/>
      <c r="M253" s="33" t="str">
        <f aca="false">IF($J253="","",MATCH($J253,{"08.00";"09.00";"10.00";"11.00";"12.00";"13.00";"14.00";"15.00";"16.00";"17.00"},0))</f>
        <v/>
      </c>
      <c r="N253" s="33" t="str">
        <f aca="false">IF(OR($M253="",$K253=""),"",$M253+$K253-1)</f>
        <v/>
      </c>
      <c r="O253" s="33" t="str">
        <f aca="false">IF($A253&lt;&gt;"Seçildi","",IF(OR($M253="",$N253=""),"",IF($N253&gt;10,"⚠ Saat Taşıyor","")))</f>
        <v/>
      </c>
      <c r="P253" s="33" t="str">
        <f aca="false">IF($A253&lt;&gt;"Seçildi","",IF(OR($G253="",$I253="",$M253=""),"",IF(SUMPRODUCT(($A$7:$A$456="Seçildi")*($G$7:$G$456=$G253)*($I$7:$I$456=$I253)*(ROW($A$7:$A$456)&lt;&gt;253)*($M$7:$M$456&lt;=$N253)*($N$7:$N$456&gt;=$M253))&gt;0,"⚠ Çakışma","OK")))</f>
        <v/>
      </c>
      <c r="Q253" s="33" t="str">
        <f aca="false">IF($A253&lt;&gt;"Seçildi","",IF(OR($L253="",$I253="",$M253=""),"",IF(SUMPRODUCT(($A$7:$A$456="Seçildi")*($L$7:$L$456=$L253)*($I$7:$I$456=$I253)*(ROW($A$7:$A$456)&lt;&gt;253)*($M$7:$M$456&lt;=$N253)*($N$7:$N$456&gt;=$M253))&gt;0,"⚠ Çakışma","OK")))</f>
        <v/>
      </c>
      <c r="R253" s="33" t="str">
        <f aca="false">IF($A253&lt;&gt;"Seçildi","",IF(OR($D253="",$I253="",$M253=""),"",IF(SUMPRODUCT(($A$7:$A$456="Seçildi")*($D$7:$D$456=$D253)*($I$7:$I$456=$I253)*(ROW($A$7:$A$456)&lt;&gt;253)*($M$7:$M$456&lt;=$N253)*($N$7:$N$456&gt;=$M253))&gt;0,"⚠ Çakışma","OK")))</f>
        <v/>
      </c>
      <c r="S253" s="33" t="str">
        <f aca="false">IF($A253&lt;&gt;"Seçildi","",IF(SUM($K253,$K254,$K255)&lt;&gt;$F253,"⚠ Dağılım: "&amp;SUM($K253:$K255)&amp;"/"&amp;$F253&amp;" saat","✓ Tamam"))</f>
        <v/>
      </c>
      <c r="T253" s="33" t="str">
        <f aca="false">IF($A253&lt;&gt;"Seçildi","",IF(OR($O253&lt;&gt;"",$P253="⚠ Çakışma",$Q253="⚠ Çakışma",$R253="⚠ Çakışma",LEFT($S253&amp;" ",1)="⚠"),"⚠ Kontrol Et","✓ Uygun"))</f>
        <v/>
      </c>
    </row>
    <row r="254" customFormat="false" ht="13.5" hidden="false" customHeight="true" outlineLevel="0" collapsed="false">
      <c r="A254" s="33" t="str">
        <f aca="false">'1-Ders Havuzu'!K85</f>
        <v>Seçilmedi</v>
      </c>
      <c r="B254" s="33" t="str">
        <f aca="false">IF($A254="Seçildi",IF('1-Ders Havuzu'!C85="","",'1-Ders Havuzu'!C85),"")</f>
        <v/>
      </c>
      <c r="C254" s="34" t="str">
        <f aca="false">IF($A254="Seçildi",IF('1-Ders Havuzu'!D85="","",'1-Ders Havuzu'!D85),"")</f>
        <v/>
      </c>
      <c r="D254" s="33" t="str">
        <f aca="false">IF($A254="Seçildi",IF('1-Ders Havuzu'!B85="","",'1-Ders Havuzu'!B85),"")</f>
        <v/>
      </c>
      <c r="E254" s="33" t="str">
        <f aca="false">IF($A254="Seçildi",IF('1-Ders Havuzu'!A85="","",'1-Ders Havuzu'!A85),"")</f>
        <v/>
      </c>
      <c r="F254" s="33" t="str">
        <f aca="false">IF($A254="Seçildi",IF('1-Ders Havuzu'!H85="","",'1-Ders Havuzu'!H85),"")</f>
        <v/>
      </c>
      <c r="G254" s="33" t="str">
        <f aca="false">IF($A254="Seçildi",IF('2-Ders-Öğr.Elemanı Eşleştirme'!H85="","",'2-Ders-Öğr.Elemanı Eşleştirme'!H85),"")</f>
        <v/>
      </c>
      <c r="H254" s="35" t="n">
        <v>2</v>
      </c>
      <c r="I254" s="36"/>
      <c r="J254" s="36"/>
      <c r="K254" s="36"/>
      <c r="L254" s="36"/>
      <c r="M254" s="33" t="str">
        <f aca="false">IF($J254="","",MATCH($J254,{"08.00";"09.00";"10.00";"11.00";"12.00";"13.00";"14.00";"15.00";"16.00";"17.00"},0))</f>
        <v/>
      </c>
      <c r="N254" s="33" t="str">
        <f aca="false">IF(OR($M254="",$K254=""),"",$M254+$K254-1)</f>
        <v/>
      </c>
      <c r="O254" s="33" t="str">
        <f aca="false">IF($A254&lt;&gt;"Seçildi","",IF(OR($M254="",$N254=""),"",IF($N254&gt;10,"⚠ Saat Taşıyor","")))</f>
        <v/>
      </c>
      <c r="P254" s="33" t="str">
        <f aca="false">IF($A254&lt;&gt;"Seçildi","",IF(OR($G254="",$I254="",$M254=""),"",IF(SUMPRODUCT(($A$7:$A$456="Seçildi")*($G$7:$G$456=$G254)*($I$7:$I$456=$I254)*(ROW($A$7:$A$456)&lt;&gt;254)*($M$7:$M$456&lt;=$N254)*($N$7:$N$456&gt;=$M254))&gt;0,"⚠ Çakışma","OK")))</f>
        <v/>
      </c>
      <c r="Q254" s="33" t="str">
        <f aca="false">IF($A254&lt;&gt;"Seçildi","",IF(OR($L254="",$I254="",$M254=""),"",IF(SUMPRODUCT(($A$7:$A$456="Seçildi")*($L$7:$L$456=$L254)*($I$7:$I$456=$I254)*(ROW($A$7:$A$456)&lt;&gt;254)*($M$7:$M$456&lt;=$N254)*($N$7:$N$456&gt;=$M254))&gt;0,"⚠ Çakışma","OK")))</f>
        <v/>
      </c>
      <c r="R254" s="33" t="str">
        <f aca="false">IF($A254&lt;&gt;"Seçildi","",IF(OR($D254="",$I254="",$M254=""),"",IF(SUMPRODUCT(($A$7:$A$456="Seçildi")*($D$7:$D$456=$D254)*($I$7:$I$456=$I254)*(ROW($A$7:$A$456)&lt;&gt;254)*($M$7:$M$456&lt;=$N254)*($N$7:$N$456&gt;=$M254))&gt;0,"⚠ Çakışma","OK")))</f>
        <v/>
      </c>
      <c r="S254" s="33"/>
      <c r="T254" s="33" t="str">
        <f aca="false">IF(OR($A254&lt;&gt;"Seçildi",AND($I254="",$J254="")),"",IF(OR($O254&lt;&gt;"",$P254="⚠ Çakışma",$Q254="⚠ Çakışma",$R254="⚠ Çakışma"),"⚠ Kontrol Et","✓ Uygun"))</f>
        <v/>
      </c>
    </row>
    <row r="255" customFormat="false" ht="13.5" hidden="false" customHeight="true" outlineLevel="0" collapsed="false">
      <c r="A255" s="33" t="str">
        <f aca="false">'1-Ders Havuzu'!K85</f>
        <v>Seçilmedi</v>
      </c>
      <c r="B255" s="33" t="str">
        <f aca="false">IF($A255="Seçildi",IF('1-Ders Havuzu'!C85="","",'1-Ders Havuzu'!C85),"")</f>
        <v/>
      </c>
      <c r="C255" s="34" t="str">
        <f aca="false">IF($A255="Seçildi",IF('1-Ders Havuzu'!D85="","",'1-Ders Havuzu'!D85),"")</f>
        <v/>
      </c>
      <c r="D255" s="33" t="str">
        <f aca="false">IF($A255="Seçildi",IF('1-Ders Havuzu'!B85="","",'1-Ders Havuzu'!B85),"")</f>
        <v/>
      </c>
      <c r="E255" s="33" t="str">
        <f aca="false">IF($A255="Seçildi",IF('1-Ders Havuzu'!A85="","",'1-Ders Havuzu'!A85),"")</f>
        <v/>
      </c>
      <c r="F255" s="33" t="str">
        <f aca="false">IF($A255="Seçildi",IF('1-Ders Havuzu'!H85="","",'1-Ders Havuzu'!H85),"")</f>
        <v/>
      </c>
      <c r="G255" s="33" t="str">
        <f aca="false">IF($A255="Seçildi",IF('2-Ders-Öğr.Elemanı Eşleştirme'!H85="","",'2-Ders-Öğr.Elemanı Eşleştirme'!H85),"")</f>
        <v/>
      </c>
      <c r="H255" s="35" t="n">
        <v>3</v>
      </c>
      <c r="I255" s="36"/>
      <c r="J255" s="36"/>
      <c r="K255" s="36"/>
      <c r="L255" s="36"/>
      <c r="M255" s="33" t="str">
        <f aca="false">IF($J255="","",MATCH($J255,{"08.00";"09.00";"10.00";"11.00";"12.00";"13.00";"14.00";"15.00";"16.00";"17.00"},0))</f>
        <v/>
      </c>
      <c r="N255" s="33" t="str">
        <f aca="false">IF(OR($M255="",$K255=""),"",$M255+$K255-1)</f>
        <v/>
      </c>
      <c r="O255" s="33" t="str">
        <f aca="false">IF($A255&lt;&gt;"Seçildi","",IF(OR($M255="",$N255=""),"",IF($N255&gt;10,"⚠ Saat Taşıyor","")))</f>
        <v/>
      </c>
      <c r="P255" s="33" t="str">
        <f aca="false">IF($A255&lt;&gt;"Seçildi","",IF(OR($G255="",$I255="",$M255=""),"",IF(SUMPRODUCT(($A$7:$A$456="Seçildi")*($G$7:$G$456=$G255)*($I$7:$I$456=$I255)*(ROW($A$7:$A$456)&lt;&gt;255)*($M$7:$M$456&lt;=$N255)*($N$7:$N$456&gt;=$M255))&gt;0,"⚠ Çakışma","OK")))</f>
        <v/>
      </c>
      <c r="Q255" s="33" t="str">
        <f aca="false">IF($A255&lt;&gt;"Seçildi","",IF(OR($L255="",$I255="",$M255=""),"",IF(SUMPRODUCT(($A$7:$A$456="Seçildi")*($L$7:$L$456=$L255)*($I$7:$I$456=$I255)*(ROW($A$7:$A$456)&lt;&gt;255)*($M$7:$M$456&lt;=$N255)*($N$7:$N$456&gt;=$M255))&gt;0,"⚠ Çakışma","OK")))</f>
        <v/>
      </c>
      <c r="R255" s="33" t="str">
        <f aca="false">IF($A255&lt;&gt;"Seçildi","",IF(OR($D255="",$I255="",$M255=""),"",IF(SUMPRODUCT(($A$7:$A$456="Seçildi")*($D$7:$D$456=$D255)*($I$7:$I$456=$I255)*(ROW($A$7:$A$456)&lt;&gt;255)*($M$7:$M$456&lt;=$N255)*($N$7:$N$456&gt;=$M255))&gt;0,"⚠ Çakışma","OK")))</f>
        <v/>
      </c>
      <c r="S255" s="33"/>
      <c r="T255" s="33" t="str">
        <f aca="false">IF(OR($A255&lt;&gt;"Seçildi",AND($I255="",$J255="")),"",IF(OR($O255&lt;&gt;"",$P255="⚠ Çakışma",$Q255="⚠ Çakışma",$R255="⚠ Çakışma"),"⚠ Kontrol Et","✓ Uygun"))</f>
        <v/>
      </c>
    </row>
    <row r="256" customFormat="false" ht="13.5" hidden="false" customHeight="true" outlineLevel="0" collapsed="false">
      <c r="A256" s="37" t="str">
        <f aca="false">'1-Ders Havuzu'!K86</f>
        <v>Seçilmedi</v>
      </c>
      <c r="B256" s="37" t="str">
        <f aca="false">IF($A256="Seçildi",IF('1-Ders Havuzu'!C86="","",'1-Ders Havuzu'!C86),"")</f>
        <v/>
      </c>
      <c r="C256" s="38" t="str">
        <f aca="false">IF($A256="Seçildi",IF('1-Ders Havuzu'!D86="","",'1-Ders Havuzu'!D86),"")</f>
        <v/>
      </c>
      <c r="D256" s="37" t="str">
        <f aca="false">IF($A256="Seçildi",IF('1-Ders Havuzu'!B86="","",'1-Ders Havuzu'!B86),"")</f>
        <v/>
      </c>
      <c r="E256" s="37" t="str">
        <f aca="false">IF($A256="Seçildi",IF('1-Ders Havuzu'!A86="","",'1-Ders Havuzu'!A86),"")</f>
        <v/>
      </c>
      <c r="F256" s="37" t="str">
        <f aca="false">IF($A256="Seçildi",IF('1-Ders Havuzu'!H86="","",'1-Ders Havuzu'!H86),"")</f>
        <v/>
      </c>
      <c r="G256" s="37" t="str">
        <f aca="false">IF($A256="Seçildi",IF('2-Ders-Öğr.Elemanı Eşleştirme'!H86="","",'2-Ders-Öğr.Elemanı Eşleştirme'!H86),"")</f>
        <v/>
      </c>
      <c r="H256" s="39" t="n">
        <v>1</v>
      </c>
      <c r="I256" s="36"/>
      <c r="J256" s="36"/>
      <c r="K256" s="36"/>
      <c r="L256" s="36"/>
      <c r="M256" s="37" t="str">
        <f aca="false">IF($J256="","",MATCH($J256,{"08.00";"09.00";"10.00";"11.00";"12.00";"13.00";"14.00";"15.00";"16.00";"17.00"},0))</f>
        <v/>
      </c>
      <c r="N256" s="37" t="str">
        <f aca="false">IF(OR($M256="",$K256=""),"",$M256+$K256-1)</f>
        <v/>
      </c>
      <c r="O256" s="37" t="str">
        <f aca="false">IF($A256&lt;&gt;"Seçildi","",IF(OR($M256="",$N256=""),"",IF($N256&gt;10,"⚠ Saat Taşıyor","")))</f>
        <v/>
      </c>
      <c r="P256" s="37" t="str">
        <f aca="false">IF($A256&lt;&gt;"Seçildi","",IF(OR($G256="",$I256="",$M256=""),"",IF(SUMPRODUCT(($A$7:$A$456="Seçildi")*($G$7:$G$456=$G256)*($I$7:$I$456=$I256)*(ROW($A$7:$A$456)&lt;&gt;256)*($M$7:$M$456&lt;=$N256)*($N$7:$N$456&gt;=$M256))&gt;0,"⚠ Çakışma","OK")))</f>
        <v/>
      </c>
      <c r="Q256" s="37" t="str">
        <f aca="false">IF($A256&lt;&gt;"Seçildi","",IF(OR($L256="",$I256="",$M256=""),"",IF(SUMPRODUCT(($A$7:$A$456="Seçildi")*($L$7:$L$456=$L256)*($I$7:$I$456=$I256)*(ROW($A$7:$A$456)&lt;&gt;256)*($M$7:$M$456&lt;=$N256)*($N$7:$N$456&gt;=$M256))&gt;0,"⚠ Çakışma","OK")))</f>
        <v/>
      </c>
      <c r="R256" s="37" t="str">
        <f aca="false">IF($A256&lt;&gt;"Seçildi","",IF(OR($D256="",$I256="",$M256=""),"",IF(SUMPRODUCT(($A$7:$A$456="Seçildi")*($D$7:$D$456=$D256)*($I$7:$I$456=$I256)*(ROW($A$7:$A$456)&lt;&gt;256)*($M$7:$M$456&lt;=$N256)*($N$7:$N$456&gt;=$M256))&gt;0,"⚠ Çakışma","OK")))</f>
        <v/>
      </c>
      <c r="S256" s="37" t="str">
        <f aca="false">IF($A256&lt;&gt;"Seçildi","",IF(SUM($K256,$K257,$K258)&lt;&gt;$F256,"⚠ Dağılım: "&amp;SUM($K256:$K258)&amp;"/"&amp;$F256&amp;" saat","✓ Tamam"))</f>
        <v/>
      </c>
      <c r="T256" s="37" t="str">
        <f aca="false">IF($A256&lt;&gt;"Seçildi","",IF(OR($O256&lt;&gt;"",$P256="⚠ Çakışma",$Q256="⚠ Çakışma",$R256="⚠ Çakışma",LEFT($S256&amp;" ",1)="⚠"),"⚠ Kontrol Et","✓ Uygun"))</f>
        <v/>
      </c>
    </row>
    <row r="257" customFormat="false" ht="13.5" hidden="false" customHeight="true" outlineLevel="0" collapsed="false">
      <c r="A257" s="37" t="str">
        <f aca="false">'1-Ders Havuzu'!K86</f>
        <v>Seçilmedi</v>
      </c>
      <c r="B257" s="37" t="str">
        <f aca="false">IF($A257="Seçildi",IF('1-Ders Havuzu'!C86="","",'1-Ders Havuzu'!C86),"")</f>
        <v/>
      </c>
      <c r="C257" s="38" t="str">
        <f aca="false">IF($A257="Seçildi",IF('1-Ders Havuzu'!D86="","",'1-Ders Havuzu'!D86),"")</f>
        <v/>
      </c>
      <c r="D257" s="37" t="str">
        <f aca="false">IF($A257="Seçildi",IF('1-Ders Havuzu'!B86="","",'1-Ders Havuzu'!B86),"")</f>
        <v/>
      </c>
      <c r="E257" s="37" t="str">
        <f aca="false">IF($A257="Seçildi",IF('1-Ders Havuzu'!A86="","",'1-Ders Havuzu'!A86),"")</f>
        <v/>
      </c>
      <c r="F257" s="37" t="str">
        <f aca="false">IF($A257="Seçildi",IF('1-Ders Havuzu'!H86="","",'1-Ders Havuzu'!H86),"")</f>
        <v/>
      </c>
      <c r="G257" s="37" t="str">
        <f aca="false">IF($A257="Seçildi",IF('2-Ders-Öğr.Elemanı Eşleştirme'!H86="","",'2-Ders-Öğr.Elemanı Eşleştirme'!H86),"")</f>
        <v/>
      </c>
      <c r="H257" s="39" t="n">
        <v>2</v>
      </c>
      <c r="I257" s="36"/>
      <c r="J257" s="36"/>
      <c r="K257" s="36"/>
      <c r="L257" s="36"/>
      <c r="M257" s="37" t="str">
        <f aca="false">IF($J257="","",MATCH($J257,{"08.00";"09.00";"10.00";"11.00";"12.00";"13.00";"14.00";"15.00";"16.00";"17.00"},0))</f>
        <v/>
      </c>
      <c r="N257" s="37" t="str">
        <f aca="false">IF(OR($M257="",$K257=""),"",$M257+$K257-1)</f>
        <v/>
      </c>
      <c r="O257" s="37" t="str">
        <f aca="false">IF($A257&lt;&gt;"Seçildi","",IF(OR($M257="",$N257=""),"",IF($N257&gt;10,"⚠ Saat Taşıyor","")))</f>
        <v/>
      </c>
      <c r="P257" s="37" t="str">
        <f aca="false">IF($A257&lt;&gt;"Seçildi","",IF(OR($G257="",$I257="",$M257=""),"",IF(SUMPRODUCT(($A$7:$A$456="Seçildi")*($G$7:$G$456=$G257)*($I$7:$I$456=$I257)*(ROW($A$7:$A$456)&lt;&gt;257)*($M$7:$M$456&lt;=$N257)*($N$7:$N$456&gt;=$M257))&gt;0,"⚠ Çakışma","OK")))</f>
        <v/>
      </c>
      <c r="Q257" s="37" t="str">
        <f aca="false">IF($A257&lt;&gt;"Seçildi","",IF(OR($L257="",$I257="",$M257=""),"",IF(SUMPRODUCT(($A$7:$A$456="Seçildi")*($L$7:$L$456=$L257)*($I$7:$I$456=$I257)*(ROW($A$7:$A$456)&lt;&gt;257)*($M$7:$M$456&lt;=$N257)*($N$7:$N$456&gt;=$M257))&gt;0,"⚠ Çakışma","OK")))</f>
        <v/>
      </c>
      <c r="R257" s="37" t="str">
        <f aca="false">IF($A257&lt;&gt;"Seçildi","",IF(OR($D257="",$I257="",$M257=""),"",IF(SUMPRODUCT(($A$7:$A$456="Seçildi")*($D$7:$D$456=$D257)*($I$7:$I$456=$I257)*(ROW($A$7:$A$456)&lt;&gt;257)*($M$7:$M$456&lt;=$N257)*($N$7:$N$456&gt;=$M257))&gt;0,"⚠ Çakışma","OK")))</f>
        <v/>
      </c>
      <c r="S257" s="37"/>
      <c r="T257" s="37" t="str">
        <f aca="false">IF(OR($A257&lt;&gt;"Seçildi",AND($I257="",$J257="")),"",IF(OR($O257&lt;&gt;"",$P257="⚠ Çakışma",$Q257="⚠ Çakışma",$R257="⚠ Çakışma"),"⚠ Kontrol Et","✓ Uygun"))</f>
        <v/>
      </c>
    </row>
    <row r="258" customFormat="false" ht="13.5" hidden="false" customHeight="true" outlineLevel="0" collapsed="false">
      <c r="A258" s="37" t="str">
        <f aca="false">'1-Ders Havuzu'!K86</f>
        <v>Seçilmedi</v>
      </c>
      <c r="B258" s="37" t="str">
        <f aca="false">IF($A258="Seçildi",IF('1-Ders Havuzu'!C86="","",'1-Ders Havuzu'!C86),"")</f>
        <v/>
      </c>
      <c r="C258" s="38" t="str">
        <f aca="false">IF($A258="Seçildi",IF('1-Ders Havuzu'!D86="","",'1-Ders Havuzu'!D86),"")</f>
        <v/>
      </c>
      <c r="D258" s="37" t="str">
        <f aca="false">IF($A258="Seçildi",IF('1-Ders Havuzu'!B86="","",'1-Ders Havuzu'!B86),"")</f>
        <v/>
      </c>
      <c r="E258" s="37" t="str">
        <f aca="false">IF($A258="Seçildi",IF('1-Ders Havuzu'!A86="","",'1-Ders Havuzu'!A86),"")</f>
        <v/>
      </c>
      <c r="F258" s="37" t="str">
        <f aca="false">IF($A258="Seçildi",IF('1-Ders Havuzu'!H86="","",'1-Ders Havuzu'!H86),"")</f>
        <v/>
      </c>
      <c r="G258" s="37" t="str">
        <f aca="false">IF($A258="Seçildi",IF('2-Ders-Öğr.Elemanı Eşleştirme'!H86="","",'2-Ders-Öğr.Elemanı Eşleştirme'!H86),"")</f>
        <v/>
      </c>
      <c r="H258" s="39" t="n">
        <v>3</v>
      </c>
      <c r="I258" s="36"/>
      <c r="J258" s="36"/>
      <c r="K258" s="36"/>
      <c r="L258" s="36"/>
      <c r="M258" s="37" t="str">
        <f aca="false">IF($J258="","",MATCH($J258,{"08.00";"09.00";"10.00";"11.00";"12.00";"13.00";"14.00";"15.00";"16.00";"17.00"},0))</f>
        <v/>
      </c>
      <c r="N258" s="37" t="str">
        <f aca="false">IF(OR($M258="",$K258=""),"",$M258+$K258-1)</f>
        <v/>
      </c>
      <c r="O258" s="37" t="str">
        <f aca="false">IF($A258&lt;&gt;"Seçildi","",IF(OR($M258="",$N258=""),"",IF($N258&gt;10,"⚠ Saat Taşıyor","")))</f>
        <v/>
      </c>
      <c r="P258" s="37" t="str">
        <f aca="false">IF($A258&lt;&gt;"Seçildi","",IF(OR($G258="",$I258="",$M258=""),"",IF(SUMPRODUCT(($A$7:$A$456="Seçildi")*($G$7:$G$456=$G258)*($I$7:$I$456=$I258)*(ROW($A$7:$A$456)&lt;&gt;258)*($M$7:$M$456&lt;=$N258)*($N$7:$N$456&gt;=$M258))&gt;0,"⚠ Çakışma","OK")))</f>
        <v/>
      </c>
      <c r="Q258" s="37" t="str">
        <f aca="false">IF($A258&lt;&gt;"Seçildi","",IF(OR($L258="",$I258="",$M258=""),"",IF(SUMPRODUCT(($A$7:$A$456="Seçildi")*($L$7:$L$456=$L258)*($I$7:$I$456=$I258)*(ROW($A$7:$A$456)&lt;&gt;258)*($M$7:$M$456&lt;=$N258)*($N$7:$N$456&gt;=$M258))&gt;0,"⚠ Çakışma","OK")))</f>
        <v/>
      </c>
      <c r="R258" s="37" t="str">
        <f aca="false">IF($A258&lt;&gt;"Seçildi","",IF(OR($D258="",$I258="",$M258=""),"",IF(SUMPRODUCT(($A$7:$A$456="Seçildi")*($D$7:$D$456=$D258)*($I$7:$I$456=$I258)*(ROW($A$7:$A$456)&lt;&gt;258)*($M$7:$M$456&lt;=$N258)*($N$7:$N$456&gt;=$M258))&gt;0,"⚠ Çakışma","OK")))</f>
        <v/>
      </c>
      <c r="S258" s="37"/>
      <c r="T258" s="37" t="str">
        <f aca="false">IF(OR($A258&lt;&gt;"Seçildi",AND($I258="",$J258="")),"",IF(OR($O258&lt;&gt;"",$P258="⚠ Çakışma",$Q258="⚠ Çakışma",$R258="⚠ Çakışma"),"⚠ Kontrol Et","✓ Uygun"))</f>
        <v/>
      </c>
    </row>
    <row r="259" customFormat="false" ht="13.5" hidden="false" customHeight="true" outlineLevel="0" collapsed="false">
      <c r="A259" s="33" t="str">
        <f aca="false">'1-Ders Havuzu'!K87</f>
        <v>Seçilmedi</v>
      </c>
      <c r="B259" s="33" t="str">
        <f aca="false">IF($A259="Seçildi",IF('1-Ders Havuzu'!C87="","",'1-Ders Havuzu'!C87),"")</f>
        <v/>
      </c>
      <c r="C259" s="34" t="str">
        <f aca="false">IF($A259="Seçildi",IF('1-Ders Havuzu'!D87="","",'1-Ders Havuzu'!D87),"")</f>
        <v/>
      </c>
      <c r="D259" s="33" t="str">
        <f aca="false">IF($A259="Seçildi",IF('1-Ders Havuzu'!B87="","",'1-Ders Havuzu'!B87),"")</f>
        <v/>
      </c>
      <c r="E259" s="33" t="str">
        <f aca="false">IF($A259="Seçildi",IF('1-Ders Havuzu'!A87="","",'1-Ders Havuzu'!A87),"")</f>
        <v/>
      </c>
      <c r="F259" s="33" t="str">
        <f aca="false">IF($A259="Seçildi",IF('1-Ders Havuzu'!H87="","",'1-Ders Havuzu'!H87),"")</f>
        <v/>
      </c>
      <c r="G259" s="33" t="str">
        <f aca="false">IF($A259="Seçildi",IF('2-Ders-Öğr.Elemanı Eşleştirme'!H87="","",'2-Ders-Öğr.Elemanı Eşleştirme'!H87),"")</f>
        <v/>
      </c>
      <c r="H259" s="35" t="n">
        <v>1</v>
      </c>
      <c r="I259" s="36"/>
      <c r="J259" s="36"/>
      <c r="K259" s="36"/>
      <c r="L259" s="36"/>
      <c r="M259" s="33" t="str">
        <f aca="false">IF($J259="","",MATCH($J259,{"08.00";"09.00";"10.00";"11.00";"12.00";"13.00";"14.00";"15.00";"16.00";"17.00"},0))</f>
        <v/>
      </c>
      <c r="N259" s="33" t="str">
        <f aca="false">IF(OR($M259="",$K259=""),"",$M259+$K259-1)</f>
        <v/>
      </c>
      <c r="O259" s="33" t="str">
        <f aca="false">IF($A259&lt;&gt;"Seçildi","",IF(OR($M259="",$N259=""),"",IF($N259&gt;10,"⚠ Saat Taşıyor","")))</f>
        <v/>
      </c>
      <c r="P259" s="33" t="str">
        <f aca="false">IF($A259&lt;&gt;"Seçildi","",IF(OR($G259="",$I259="",$M259=""),"",IF(SUMPRODUCT(($A$7:$A$456="Seçildi")*($G$7:$G$456=$G259)*($I$7:$I$456=$I259)*(ROW($A$7:$A$456)&lt;&gt;259)*($M$7:$M$456&lt;=$N259)*($N$7:$N$456&gt;=$M259))&gt;0,"⚠ Çakışma","OK")))</f>
        <v/>
      </c>
      <c r="Q259" s="33" t="str">
        <f aca="false">IF($A259&lt;&gt;"Seçildi","",IF(OR($L259="",$I259="",$M259=""),"",IF(SUMPRODUCT(($A$7:$A$456="Seçildi")*($L$7:$L$456=$L259)*($I$7:$I$456=$I259)*(ROW($A$7:$A$456)&lt;&gt;259)*($M$7:$M$456&lt;=$N259)*($N$7:$N$456&gt;=$M259))&gt;0,"⚠ Çakışma","OK")))</f>
        <v/>
      </c>
      <c r="R259" s="33" t="str">
        <f aca="false">IF($A259&lt;&gt;"Seçildi","",IF(OR($D259="",$I259="",$M259=""),"",IF(SUMPRODUCT(($A$7:$A$456="Seçildi")*($D$7:$D$456=$D259)*($I$7:$I$456=$I259)*(ROW($A$7:$A$456)&lt;&gt;259)*($M$7:$M$456&lt;=$N259)*($N$7:$N$456&gt;=$M259))&gt;0,"⚠ Çakışma","OK")))</f>
        <v/>
      </c>
      <c r="S259" s="33" t="str">
        <f aca="false">IF($A259&lt;&gt;"Seçildi","",IF(SUM($K259,$K260,$K261)&lt;&gt;$F259,"⚠ Dağılım: "&amp;SUM($K259:$K261)&amp;"/"&amp;$F259&amp;" saat","✓ Tamam"))</f>
        <v/>
      </c>
      <c r="T259" s="33" t="str">
        <f aca="false">IF($A259&lt;&gt;"Seçildi","",IF(OR($O259&lt;&gt;"",$P259="⚠ Çakışma",$Q259="⚠ Çakışma",$R259="⚠ Çakışma",LEFT($S259&amp;" ",1)="⚠"),"⚠ Kontrol Et","✓ Uygun"))</f>
        <v/>
      </c>
    </row>
    <row r="260" customFormat="false" ht="13.5" hidden="false" customHeight="true" outlineLevel="0" collapsed="false">
      <c r="A260" s="33" t="str">
        <f aca="false">'1-Ders Havuzu'!K87</f>
        <v>Seçilmedi</v>
      </c>
      <c r="B260" s="33" t="str">
        <f aca="false">IF($A260="Seçildi",IF('1-Ders Havuzu'!C87="","",'1-Ders Havuzu'!C87),"")</f>
        <v/>
      </c>
      <c r="C260" s="34" t="str">
        <f aca="false">IF($A260="Seçildi",IF('1-Ders Havuzu'!D87="","",'1-Ders Havuzu'!D87),"")</f>
        <v/>
      </c>
      <c r="D260" s="33" t="str">
        <f aca="false">IF($A260="Seçildi",IF('1-Ders Havuzu'!B87="","",'1-Ders Havuzu'!B87),"")</f>
        <v/>
      </c>
      <c r="E260" s="33" t="str">
        <f aca="false">IF($A260="Seçildi",IF('1-Ders Havuzu'!A87="","",'1-Ders Havuzu'!A87),"")</f>
        <v/>
      </c>
      <c r="F260" s="33" t="str">
        <f aca="false">IF($A260="Seçildi",IF('1-Ders Havuzu'!H87="","",'1-Ders Havuzu'!H87),"")</f>
        <v/>
      </c>
      <c r="G260" s="33" t="str">
        <f aca="false">IF($A260="Seçildi",IF('2-Ders-Öğr.Elemanı Eşleştirme'!H87="","",'2-Ders-Öğr.Elemanı Eşleştirme'!H87),"")</f>
        <v/>
      </c>
      <c r="H260" s="35" t="n">
        <v>2</v>
      </c>
      <c r="I260" s="36"/>
      <c r="J260" s="36"/>
      <c r="K260" s="36"/>
      <c r="L260" s="36"/>
      <c r="M260" s="33" t="str">
        <f aca="false">IF($J260="","",MATCH($J260,{"08.00";"09.00";"10.00";"11.00";"12.00";"13.00";"14.00";"15.00";"16.00";"17.00"},0))</f>
        <v/>
      </c>
      <c r="N260" s="33" t="str">
        <f aca="false">IF(OR($M260="",$K260=""),"",$M260+$K260-1)</f>
        <v/>
      </c>
      <c r="O260" s="33" t="str">
        <f aca="false">IF($A260&lt;&gt;"Seçildi","",IF(OR($M260="",$N260=""),"",IF($N260&gt;10,"⚠ Saat Taşıyor","")))</f>
        <v/>
      </c>
      <c r="P260" s="33" t="str">
        <f aca="false">IF($A260&lt;&gt;"Seçildi","",IF(OR($G260="",$I260="",$M260=""),"",IF(SUMPRODUCT(($A$7:$A$456="Seçildi")*($G$7:$G$456=$G260)*($I$7:$I$456=$I260)*(ROW($A$7:$A$456)&lt;&gt;260)*($M$7:$M$456&lt;=$N260)*($N$7:$N$456&gt;=$M260))&gt;0,"⚠ Çakışma","OK")))</f>
        <v/>
      </c>
      <c r="Q260" s="33" t="str">
        <f aca="false">IF($A260&lt;&gt;"Seçildi","",IF(OR($L260="",$I260="",$M260=""),"",IF(SUMPRODUCT(($A$7:$A$456="Seçildi")*($L$7:$L$456=$L260)*($I$7:$I$456=$I260)*(ROW($A$7:$A$456)&lt;&gt;260)*($M$7:$M$456&lt;=$N260)*($N$7:$N$456&gt;=$M260))&gt;0,"⚠ Çakışma","OK")))</f>
        <v/>
      </c>
      <c r="R260" s="33" t="str">
        <f aca="false">IF($A260&lt;&gt;"Seçildi","",IF(OR($D260="",$I260="",$M260=""),"",IF(SUMPRODUCT(($A$7:$A$456="Seçildi")*($D$7:$D$456=$D260)*($I$7:$I$456=$I260)*(ROW($A$7:$A$456)&lt;&gt;260)*($M$7:$M$456&lt;=$N260)*($N$7:$N$456&gt;=$M260))&gt;0,"⚠ Çakışma","OK")))</f>
        <v/>
      </c>
      <c r="S260" s="33"/>
      <c r="T260" s="33" t="str">
        <f aca="false">IF(OR($A260&lt;&gt;"Seçildi",AND($I260="",$J260="")),"",IF(OR($O260&lt;&gt;"",$P260="⚠ Çakışma",$Q260="⚠ Çakışma",$R260="⚠ Çakışma"),"⚠ Kontrol Et","✓ Uygun"))</f>
        <v/>
      </c>
    </row>
    <row r="261" customFormat="false" ht="13.5" hidden="false" customHeight="true" outlineLevel="0" collapsed="false">
      <c r="A261" s="33" t="str">
        <f aca="false">'1-Ders Havuzu'!K87</f>
        <v>Seçilmedi</v>
      </c>
      <c r="B261" s="33" t="str">
        <f aca="false">IF($A261="Seçildi",IF('1-Ders Havuzu'!C87="","",'1-Ders Havuzu'!C87),"")</f>
        <v/>
      </c>
      <c r="C261" s="34" t="str">
        <f aca="false">IF($A261="Seçildi",IF('1-Ders Havuzu'!D87="","",'1-Ders Havuzu'!D87),"")</f>
        <v/>
      </c>
      <c r="D261" s="33" t="str">
        <f aca="false">IF($A261="Seçildi",IF('1-Ders Havuzu'!B87="","",'1-Ders Havuzu'!B87),"")</f>
        <v/>
      </c>
      <c r="E261" s="33" t="str">
        <f aca="false">IF($A261="Seçildi",IF('1-Ders Havuzu'!A87="","",'1-Ders Havuzu'!A87),"")</f>
        <v/>
      </c>
      <c r="F261" s="33" t="str">
        <f aca="false">IF($A261="Seçildi",IF('1-Ders Havuzu'!H87="","",'1-Ders Havuzu'!H87),"")</f>
        <v/>
      </c>
      <c r="G261" s="33" t="str">
        <f aca="false">IF($A261="Seçildi",IF('2-Ders-Öğr.Elemanı Eşleştirme'!H87="","",'2-Ders-Öğr.Elemanı Eşleştirme'!H87),"")</f>
        <v/>
      </c>
      <c r="H261" s="35" t="n">
        <v>3</v>
      </c>
      <c r="I261" s="36"/>
      <c r="J261" s="36"/>
      <c r="K261" s="36"/>
      <c r="L261" s="36"/>
      <c r="M261" s="33" t="str">
        <f aca="false">IF($J261="","",MATCH($J261,{"08.00";"09.00";"10.00";"11.00";"12.00";"13.00";"14.00";"15.00";"16.00";"17.00"},0))</f>
        <v/>
      </c>
      <c r="N261" s="33" t="str">
        <f aca="false">IF(OR($M261="",$K261=""),"",$M261+$K261-1)</f>
        <v/>
      </c>
      <c r="O261" s="33" t="str">
        <f aca="false">IF($A261&lt;&gt;"Seçildi","",IF(OR($M261="",$N261=""),"",IF($N261&gt;10,"⚠ Saat Taşıyor","")))</f>
        <v/>
      </c>
      <c r="P261" s="33" t="str">
        <f aca="false">IF($A261&lt;&gt;"Seçildi","",IF(OR($G261="",$I261="",$M261=""),"",IF(SUMPRODUCT(($A$7:$A$456="Seçildi")*($G$7:$G$456=$G261)*($I$7:$I$456=$I261)*(ROW($A$7:$A$456)&lt;&gt;261)*($M$7:$M$456&lt;=$N261)*($N$7:$N$456&gt;=$M261))&gt;0,"⚠ Çakışma","OK")))</f>
        <v/>
      </c>
      <c r="Q261" s="33" t="str">
        <f aca="false">IF($A261&lt;&gt;"Seçildi","",IF(OR($L261="",$I261="",$M261=""),"",IF(SUMPRODUCT(($A$7:$A$456="Seçildi")*($L$7:$L$456=$L261)*($I$7:$I$456=$I261)*(ROW($A$7:$A$456)&lt;&gt;261)*($M$7:$M$456&lt;=$N261)*($N$7:$N$456&gt;=$M261))&gt;0,"⚠ Çakışma","OK")))</f>
        <v/>
      </c>
      <c r="R261" s="33" t="str">
        <f aca="false">IF($A261&lt;&gt;"Seçildi","",IF(OR($D261="",$I261="",$M261=""),"",IF(SUMPRODUCT(($A$7:$A$456="Seçildi")*($D$7:$D$456=$D261)*($I$7:$I$456=$I261)*(ROW($A$7:$A$456)&lt;&gt;261)*($M$7:$M$456&lt;=$N261)*($N$7:$N$456&gt;=$M261))&gt;0,"⚠ Çakışma","OK")))</f>
        <v/>
      </c>
      <c r="S261" s="33"/>
      <c r="T261" s="33" t="str">
        <f aca="false">IF(OR($A261&lt;&gt;"Seçildi",AND($I261="",$J261="")),"",IF(OR($O261&lt;&gt;"",$P261="⚠ Çakışma",$Q261="⚠ Çakışma",$R261="⚠ Çakışma"),"⚠ Kontrol Et","✓ Uygun"))</f>
        <v/>
      </c>
    </row>
    <row r="262" customFormat="false" ht="13.5" hidden="false" customHeight="true" outlineLevel="0" collapsed="false">
      <c r="A262" s="37" t="str">
        <f aca="false">'1-Ders Havuzu'!K88</f>
        <v>Seçilmedi</v>
      </c>
      <c r="B262" s="37" t="str">
        <f aca="false">IF($A262="Seçildi",IF('1-Ders Havuzu'!C88="","",'1-Ders Havuzu'!C88),"")</f>
        <v/>
      </c>
      <c r="C262" s="38" t="str">
        <f aca="false">IF($A262="Seçildi",IF('1-Ders Havuzu'!D88="","",'1-Ders Havuzu'!D88),"")</f>
        <v/>
      </c>
      <c r="D262" s="37" t="str">
        <f aca="false">IF($A262="Seçildi",IF('1-Ders Havuzu'!B88="","",'1-Ders Havuzu'!B88),"")</f>
        <v/>
      </c>
      <c r="E262" s="37" t="str">
        <f aca="false">IF($A262="Seçildi",IF('1-Ders Havuzu'!A88="","",'1-Ders Havuzu'!A88),"")</f>
        <v/>
      </c>
      <c r="F262" s="37" t="str">
        <f aca="false">IF($A262="Seçildi",IF('1-Ders Havuzu'!H88="","",'1-Ders Havuzu'!H88),"")</f>
        <v/>
      </c>
      <c r="G262" s="37" t="str">
        <f aca="false">IF($A262="Seçildi",IF('2-Ders-Öğr.Elemanı Eşleştirme'!H88="","",'2-Ders-Öğr.Elemanı Eşleştirme'!H88),"")</f>
        <v/>
      </c>
      <c r="H262" s="39" t="n">
        <v>1</v>
      </c>
      <c r="I262" s="36"/>
      <c r="J262" s="36"/>
      <c r="K262" s="36"/>
      <c r="L262" s="36"/>
      <c r="M262" s="37" t="str">
        <f aca="false">IF($J262="","",MATCH($J262,{"08.00";"09.00";"10.00";"11.00";"12.00";"13.00";"14.00";"15.00";"16.00";"17.00"},0))</f>
        <v/>
      </c>
      <c r="N262" s="37" t="str">
        <f aca="false">IF(OR($M262="",$K262=""),"",$M262+$K262-1)</f>
        <v/>
      </c>
      <c r="O262" s="37" t="str">
        <f aca="false">IF($A262&lt;&gt;"Seçildi","",IF(OR($M262="",$N262=""),"",IF($N262&gt;10,"⚠ Saat Taşıyor","")))</f>
        <v/>
      </c>
      <c r="P262" s="37" t="str">
        <f aca="false">IF($A262&lt;&gt;"Seçildi","",IF(OR($G262="",$I262="",$M262=""),"",IF(SUMPRODUCT(($A$7:$A$456="Seçildi")*($G$7:$G$456=$G262)*($I$7:$I$456=$I262)*(ROW($A$7:$A$456)&lt;&gt;262)*($M$7:$M$456&lt;=$N262)*($N$7:$N$456&gt;=$M262))&gt;0,"⚠ Çakışma","OK")))</f>
        <v/>
      </c>
      <c r="Q262" s="37" t="str">
        <f aca="false">IF($A262&lt;&gt;"Seçildi","",IF(OR($L262="",$I262="",$M262=""),"",IF(SUMPRODUCT(($A$7:$A$456="Seçildi")*($L$7:$L$456=$L262)*($I$7:$I$456=$I262)*(ROW($A$7:$A$456)&lt;&gt;262)*($M$7:$M$456&lt;=$N262)*($N$7:$N$456&gt;=$M262))&gt;0,"⚠ Çakışma","OK")))</f>
        <v/>
      </c>
      <c r="R262" s="37" t="str">
        <f aca="false">IF($A262&lt;&gt;"Seçildi","",IF(OR($D262="",$I262="",$M262=""),"",IF(SUMPRODUCT(($A$7:$A$456="Seçildi")*($D$7:$D$456=$D262)*($I$7:$I$456=$I262)*(ROW($A$7:$A$456)&lt;&gt;262)*($M$7:$M$456&lt;=$N262)*($N$7:$N$456&gt;=$M262))&gt;0,"⚠ Çakışma","OK")))</f>
        <v/>
      </c>
      <c r="S262" s="37" t="str">
        <f aca="false">IF($A262&lt;&gt;"Seçildi","",IF(SUM($K262,$K263,$K264)&lt;&gt;$F262,"⚠ Dağılım: "&amp;SUM($K262:$K264)&amp;"/"&amp;$F262&amp;" saat","✓ Tamam"))</f>
        <v/>
      </c>
      <c r="T262" s="37" t="str">
        <f aca="false">IF($A262&lt;&gt;"Seçildi","",IF(OR($O262&lt;&gt;"",$P262="⚠ Çakışma",$Q262="⚠ Çakışma",$R262="⚠ Çakışma",LEFT($S262&amp;" ",1)="⚠"),"⚠ Kontrol Et","✓ Uygun"))</f>
        <v/>
      </c>
    </row>
    <row r="263" customFormat="false" ht="13.5" hidden="false" customHeight="true" outlineLevel="0" collapsed="false">
      <c r="A263" s="37" t="str">
        <f aca="false">'1-Ders Havuzu'!K88</f>
        <v>Seçilmedi</v>
      </c>
      <c r="B263" s="37" t="str">
        <f aca="false">IF($A263="Seçildi",IF('1-Ders Havuzu'!C88="","",'1-Ders Havuzu'!C88),"")</f>
        <v/>
      </c>
      <c r="C263" s="38" t="str">
        <f aca="false">IF($A263="Seçildi",IF('1-Ders Havuzu'!D88="","",'1-Ders Havuzu'!D88),"")</f>
        <v/>
      </c>
      <c r="D263" s="37" t="str">
        <f aca="false">IF($A263="Seçildi",IF('1-Ders Havuzu'!B88="","",'1-Ders Havuzu'!B88),"")</f>
        <v/>
      </c>
      <c r="E263" s="37" t="str">
        <f aca="false">IF($A263="Seçildi",IF('1-Ders Havuzu'!A88="","",'1-Ders Havuzu'!A88),"")</f>
        <v/>
      </c>
      <c r="F263" s="37" t="str">
        <f aca="false">IF($A263="Seçildi",IF('1-Ders Havuzu'!H88="","",'1-Ders Havuzu'!H88),"")</f>
        <v/>
      </c>
      <c r="G263" s="37" t="str">
        <f aca="false">IF($A263="Seçildi",IF('2-Ders-Öğr.Elemanı Eşleştirme'!H88="","",'2-Ders-Öğr.Elemanı Eşleştirme'!H88),"")</f>
        <v/>
      </c>
      <c r="H263" s="39" t="n">
        <v>2</v>
      </c>
      <c r="I263" s="36"/>
      <c r="J263" s="36"/>
      <c r="K263" s="36"/>
      <c r="L263" s="36"/>
      <c r="M263" s="37" t="str">
        <f aca="false">IF($J263="","",MATCH($J263,{"08.00";"09.00";"10.00";"11.00";"12.00";"13.00";"14.00";"15.00";"16.00";"17.00"},0))</f>
        <v/>
      </c>
      <c r="N263" s="37" t="str">
        <f aca="false">IF(OR($M263="",$K263=""),"",$M263+$K263-1)</f>
        <v/>
      </c>
      <c r="O263" s="37" t="str">
        <f aca="false">IF($A263&lt;&gt;"Seçildi","",IF(OR($M263="",$N263=""),"",IF($N263&gt;10,"⚠ Saat Taşıyor","")))</f>
        <v/>
      </c>
      <c r="P263" s="37" t="str">
        <f aca="false">IF($A263&lt;&gt;"Seçildi","",IF(OR($G263="",$I263="",$M263=""),"",IF(SUMPRODUCT(($A$7:$A$456="Seçildi")*($G$7:$G$456=$G263)*($I$7:$I$456=$I263)*(ROW($A$7:$A$456)&lt;&gt;263)*($M$7:$M$456&lt;=$N263)*($N$7:$N$456&gt;=$M263))&gt;0,"⚠ Çakışma","OK")))</f>
        <v/>
      </c>
      <c r="Q263" s="37" t="str">
        <f aca="false">IF($A263&lt;&gt;"Seçildi","",IF(OR($L263="",$I263="",$M263=""),"",IF(SUMPRODUCT(($A$7:$A$456="Seçildi")*($L$7:$L$456=$L263)*($I$7:$I$456=$I263)*(ROW($A$7:$A$456)&lt;&gt;263)*($M$7:$M$456&lt;=$N263)*($N$7:$N$456&gt;=$M263))&gt;0,"⚠ Çakışma","OK")))</f>
        <v/>
      </c>
      <c r="R263" s="37" t="str">
        <f aca="false">IF($A263&lt;&gt;"Seçildi","",IF(OR($D263="",$I263="",$M263=""),"",IF(SUMPRODUCT(($A$7:$A$456="Seçildi")*($D$7:$D$456=$D263)*($I$7:$I$456=$I263)*(ROW($A$7:$A$456)&lt;&gt;263)*($M$7:$M$456&lt;=$N263)*($N$7:$N$456&gt;=$M263))&gt;0,"⚠ Çakışma","OK")))</f>
        <v/>
      </c>
      <c r="S263" s="37"/>
      <c r="T263" s="37" t="str">
        <f aca="false">IF(OR($A263&lt;&gt;"Seçildi",AND($I263="",$J263="")),"",IF(OR($O263&lt;&gt;"",$P263="⚠ Çakışma",$Q263="⚠ Çakışma",$R263="⚠ Çakışma"),"⚠ Kontrol Et","✓ Uygun"))</f>
        <v/>
      </c>
    </row>
    <row r="264" customFormat="false" ht="13.5" hidden="false" customHeight="true" outlineLevel="0" collapsed="false">
      <c r="A264" s="37" t="str">
        <f aca="false">'1-Ders Havuzu'!K88</f>
        <v>Seçilmedi</v>
      </c>
      <c r="B264" s="37" t="str">
        <f aca="false">IF($A264="Seçildi",IF('1-Ders Havuzu'!C88="","",'1-Ders Havuzu'!C88),"")</f>
        <v/>
      </c>
      <c r="C264" s="38" t="str">
        <f aca="false">IF($A264="Seçildi",IF('1-Ders Havuzu'!D88="","",'1-Ders Havuzu'!D88),"")</f>
        <v/>
      </c>
      <c r="D264" s="37" t="str">
        <f aca="false">IF($A264="Seçildi",IF('1-Ders Havuzu'!B88="","",'1-Ders Havuzu'!B88),"")</f>
        <v/>
      </c>
      <c r="E264" s="37" t="str">
        <f aca="false">IF($A264="Seçildi",IF('1-Ders Havuzu'!A88="","",'1-Ders Havuzu'!A88),"")</f>
        <v/>
      </c>
      <c r="F264" s="37" t="str">
        <f aca="false">IF($A264="Seçildi",IF('1-Ders Havuzu'!H88="","",'1-Ders Havuzu'!H88),"")</f>
        <v/>
      </c>
      <c r="G264" s="37" t="str">
        <f aca="false">IF($A264="Seçildi",IF('2-Ders-Öğr.Elemanı Eşleştirme'!H88="","",'2-Ders-Öğr.Elemanı Eşleştirme'!H88),"")</f>
        <v/>
      </c>
      <c r="H264" s="39" t="n">
        <v>3</v>
      </c>
      <c r="I264" s="36"/>
      <c r="J264" s="36"/>
      <c r="K264" s="36"/>
      <c r="L264" s="36"/>
      <c r="M264" s="37" t="str">
        <f aca="false">IF($J264="","",MATCH($J264,{"08.00";"09.00";"10.00";"11.00";"12.00";"13.00";"14.00";"15.00";"16.00";"17.00"},0))</f>
        <v/>
      </c>
      <c r="N264" s="37" t="str">
        <f aca="false">IF(OR($M264="",$K264=""),"",$M264+$K264-1)</f>
        <v/>
      </c>
      <c r="O264" s="37" t="str">
        <f aca="false">IF($A264&lt;&gt;"Seçildi","",IF(OR($M264="",$N264=""),"",IF($N264&gt;10,"⚠ Saat Taşıyor","")))</f>
        <v/>
      </c>
      <c r="P264" s="37" t="str">
        <f aca="false">IF($A264&lt;&gt;"Seçildi","",IF(OR($G264="",$I264="",$M264=""),"",IF(SUMPRODUCT(($A$7:$A$456="Seçildi")*($G$7:$G$456=$G264)*($I$7:$I$456=$I264)*(ROW($A$7:$A$456)&lt;&gt;264)*($M$7:$M$456&lt;=$N264)*($N$7:$N$456&gt;=$M264))&gt;0,"⚠ Çakışma","OK")))</f>
        <v/>
      </c>
      <c r="Q264" s="37" t="str">
        <f aca="false">IF($A264&lt;&gt;"Seçildi","",IF(OR($L264="",$I264="",$M264=""),"",IF(SUMPRODUCT(($A$7:$A$456="Seçildi")*($L$7:$L$456=$L264)*($I$7:$I$456=$I264)*(ROW($A$7:$A$456)&lt;&gt;264)*($M$7:$M$456&lt;=$N264)*($N$7:$N$456&gt;=$M264))&gt;0,"⚠ Çakışma","OK")))</f>
        <v/>
      </c>
      <c r="R264" s="37" t="str">
        <f aca="false">IF($A264&lt;&gt;"Seçildi","",IF(OR($D264="",$I264="",$M264=""),"",IF(SUMPRODUCT(($A$7:$A$456="Seçildi")*($D$7:$D$456=$D264)*($I$7:$I$456=$I264)*(ROW($A$7:$A$456)&lt;&gt;264)*($M$7:$M$456&lt;=$N264)*($N$7:$N$456&gt;=$M264))&gt;0,"⚠ Çakışma","OK")))</f>
        <v/>
      </c>
      <c r="S264" s="37"/>
      <c r="T264" s="37" t="str">
        <f aca="false">IF(OR($A264&lt;&gt;"Seçildi",AND($I264="",$J264="")),"",IF(OR($O264&lt;&gt;"",$P264="⚠ Çakışma",$Q264="⚠ Çakışma",$R264="⚠ Çakışma"),"⚠ Kontrol Et","✓ Uygun"))</f>
        <v/>
      </c>
    </row>
    <row r="265" customFormat="false" ht="13.5" hidden="false" customHeight="true" outlineLevel="0" collapsed="false">
      <c r="A265" s="33" t="str">
        <f aca="false">'1-Ders Havuzu'!K89</f>
        <v>Seçilmedi</v>
      </c>
      <c r="B265" s="33" t="str">
        <f aca="false">IF($A265="Seçildi",IF('1-Ders Havuzu'!C89="","",'1-Ders Havuzu'!C89),"")</f>
        <v/>
      </c>
      <c r="C265" s="34" t="str">
        <f aca="false">IF($A265="Seçildi",IF('1-Ders Havuzu'!D89="","",'1-Ders Havuzu'!D89),"")</f>
        <v/>
      </c>
      <c r="D265" s="33" t="str">
        <f aca="false">IF($A265="Seçildi",IF('1-Ders Havuzu'!B89="","",'1-Ders Havuzu'!B89),"")</f>
        <v/>
      </c>
      <c r="E265" s="33" t="str">
        <f aca="false">IF($A265="Seçildi",IF('1-Ders Havuzu'!A89="","",'1-Ders Havuzu'!A89),"")</f>
        <v/>
      </c>
      <c r="F265" s="33" t="str">
        <f aca="false">IF($A265="Seçildi",IF('1-Ders Havuzu'!H89="","",'1-Ders Havuzu'!H89),"")</f>
        <v/>
      </c>
      <c r="G265" s="33" t="str">
        <f aca="false">IF($A265="Seçildi",IF('2-Ders-Öğr.Elemanı Eşleştirme'!H89="","",'2-Ders-Öğr.Elemanı Eşleştirme'!H89),"")</f>
        <v/>
      </c>
      <c r="H265" s="35" t="n">
        <v>1</v>
      </c>
      <c r="I265" s="36"/>
      <c r="J265" s="36"/>
      <c r="K265" s="36"/>
      <c r="L265" s="36"/>
      <c r="M265" s="33" t="str">
        <f aca="false">IF($J265="","",MATCH($J265,{"08.00";"09.00";"10.00";"11.00";"12.00";"13.00";"14.00";"15.00";"16.00";"17.00"},0))</f>
        <v/>
      </c>
      <c r="N265" s="33" t="str">
        <f aca="false">IF(OR($M265="",$K265=""),"",$M265+$K265-1)</f>
        <v/>
      </c>
      <c r="O265" s="33" t="str">
        <f aca="false">IF($A265&lt;&gt;"Seçildi","",IF(OR($M265="",$N265=""),"",IF($N265&gt;10,"⚠ Saat Taşıyor","")))</f>
        <v/>
      </c>
      <c r="P265" s="33" t="str">
        <f aca="false">IF($A265&lt;&gt;"Seçildi","",IF(OR($G265="",$I265="",$M265=""),"",IF(SUMPRODUCT(($A$7:$A$456="Seçildi")*($G$7:$G$456=$G265)*($I$7:$I$456=$I265)*(ROW($A$7:$A$456)&lt;&gt;265)*($M$7:$M$456&lt;=$N265)*($N$7:$N$456&gt;=$M265))&gt;0,"⚠ Çakışma","OK")))</f>
        <v/>
      </c>
      <c r="Q265" s="33" t="str">
        <f aca="false">IF($A265&lt;&gt;"Seçildi","",IF(OR($L265="",$I265="",$M265=""),"",IF(SUMPRODUCT(($A$7:$A$456="Seçildi")*($L$7:$L$456=$L265)*($I$7:$I$456=$I265)*(ROW($A$7:$A$456)&lt;&gt;265)*($M$7:$M$456&lt;=$N265)*($N$7:$N$456&gt;=$M265))&gt;0,"⚠ Çakışma","OK")))</f>
        <v/>
      </c>
      <c r="R265" s="33" t="str">
        <f aca="false">IF($A265&lt;&gt;"Seçildi","",IF(OR($D265="",$I265="",$M265=""),"",IF(SUMPRODUCT(($A$7:$A$456="Seçildi")*($D$7:$D$456=$D265)*($I$7:$I$456=$I265)*(ROW($A$7:$A$456)&lt;&gt;265)*($M$7:$M$456&lt;=$N265)*($N$7:$N$456&gt;=$M265))&gt;0,"⚠ Çakışma","OK")))</f>
        <v/>
      </c>
      <c r="S265" s="33" t="str">
        <f aca="false">IF($A265&lt;&gt;"Seçildi","",IF(SUM($K265,$K266,$K267)&lt;&gt;$F265,"⚠ Dağılım: "&amp;SUM($K265:$K267)&amp;"/"&amp;$F265&amp;" saat","✓ Tamam"))</f>
        <v/>
      </c>
      <c r="T265" s="33" t="str">
        <f aca="false">IF($A265&lt;&gt;"Seçildi","",IF(OR($O265&lt;&gt;"",$P265="⚠ Çakışma",$Q265="⚠ Çakışma",$R265="⚠ Çakışma",LEFT($S265&amp;" ",1)="⚠"),"⚠ Kontrol Et","✓ Uygun"))</f>
        <v/>
      </c>
    </row>
    <row r="266" customFormat="false" ht="13.5" hidden="false" customHeight="true" outlineLevel="0" collapsed="false">
      <c r="A266" s="33" t="str">
        <f aca="false">'1-Ders Havuzu'!K89</f>
        <v>Seçilmedi</v>
      </c>
      <c r="B266" s="33" t="str">
        <f aca="false">IF($A266="Seçildi",IF('1-Ders Havuzu'!C89="","",'1-Ders Havuzu'!C89),"")</f>
        <v/>
      </c>
      <c r="C266" s="34" t="str">
        <f aca="false">IF($A266="Seçildi",IF('1-Ders Havuzu'!D89="","",'1-Ders Havuzu'!D89),"")</f>
        <v/>
      </c>
      <c r="D266" s="33" t="str">
        <f aca="false">IF($A266="Seçildi",IF('1-Ders Havuzu'!B89="","",'1-Ders Havuzu'!B89),"")</f>
        <v/>
      </c>
      <c r="E266" s="33" t="str">
        <f aca="false">IF($A266="Seçildi",IF('1-Ders Havuzu'!A89="","",'1-Ders Havuzu'!A89),"")</f>
        <v/>
      </c>
      <c r="F266" s="33" t="str">
        <f aca="false">IF($A266="Seçildi",IF('1-Ders Havuzu'!H89="","",'1-Ders Havuzu'!H89),"")</f>
        <v/>
      </c>
      <c r="G266" s="33" t="str">
        <f aca="false">IF($A266="Seçildi",IF('2-Ders-Öğr.Elemanı Eşleştirme'!H89="","",'2-Ders-Öğr.Elemanı Eşleştirme'!H89),"")</f>
        <v/>
      </c>
      <c r="H266" s="35" t="n">
        <v>2</v>
      </c>
      <c r="I266" s="36"/>
      <c r="J266" s="36"/>
      <c r="K266" s="36"/>
      <c r="L266" s="36"/>
      <c r="M266" s="33" t="str">
        <f aca="false">IF($J266="","",MATCH($J266,{"08.00";"09.00";"10.00";"11.00";"12.00";"13.00";"14.00";"15.00";"16.00";"17.00"},0))</f>
        <v/>
      </c>
      <c r="N266" s="33" t="str">
        <f aca="false">IF(OR($M266="",$K266=""),"",$M266+$K266-1)</f>
        <v/>
      </c>
      <c r="O266" s="33" t="str">
        <f aca="false">IF($A266&lt;&gt;"Seçildi","",IF(OR($M266="",$N266=""),"",IF($N266&gt;10,"⚠ Saat Taşıyor","")))</f>
        <v/>
      </c>
      <c r="P266" s="33" t="str">
        <f aca="false">IF($A266&lt;&gt;"Seçildi","",IF(OR($G266="",$I266="",$M266=""),"",IF(SUMPRODUCT(($A$7:$A$456="Seçildi")*($G$7:$G$456=$G266)*($I$7:$I$456=$I266)*(ROW($A$7:$A$456)&lt;&gt;266)*($M$7:$M$456&lt;=$N266)*($N$7:$N$456&gt;=$M266))&gt;0,"⚠ Çakışma","OK")))</f>
        <v/>
      </c>
      <c r="Q266" s="33" t="str">
        <f aca="false">IF($A266&lt;&gt;"Seçildi","",IF(OR($L266="",$I266="",$M266=""),"",IF(SUMPRODUCT(($A$7:$A$456="Seçildi")*($L$7:$L$456=$L266)*($I$7:$I$456=$I266)*(ROW($A$7:$A$456)&lt;&gt;266)*($M$7:$M$456&lt;=$N266)*($N$7:$N$456&gt;=$M266))&gt;0,"⚠ Çakışma","OK")))</f>
        <v/>
      </c>
      <c r="R266" s="33" t="str">
        <f aca="false">IF($A266&lt;&gt;"Seçildi","",IF(OR($D266="",$I266="",$M266=""),"",IF(SUMPRODUCT(($A$7:$A$456="Seçildi")*($D$7:$D$456=$D266)*($I$7:$I$456=$I266)*(ROW($A$7:$A$456)&lt;&gt;266)*($M$7:$M$456&lt;=$N266)*($N$7:$N$456&gt;=$M266))&gt;0,"⚠ Çakışma","OK")))</f>
        <v/>
      </c>
      <c r="S266" s="33"/>
      <c r="T266" s="33" t="str">
        <f aca="false">IF(OR($A266&lt;&gt;"Seçildi",AND($I266="",$J266="")),"",IF(OR($O266&lt;&gt;"",$P266="⚠ Çakışma",$Q266="⚠ Çakışma",$R266="⚠ Çakışma"),"⚠ Kontrol Et","✓ Uygun"))</f>
        <v/>
      </c>
    </row>
    <row r="267" customFormat="false" ht="13.5" hidden="false" customHeight="true" outlineLevel="0" collapsed="false">
      <c r="A267" s="33" t="str">
        <f aca="false">'1-Ders Havuzu'!K89</f>
        <v>Seçilmedi</v>
      </c>
      <c r="B267" s="33" t="str">
        <f aca="false">IF($A267="Seçildi",IF('1-Ders Havuzu'!C89="","",'1-Ders Havuzu'!C89),"")</f>
        <v/>
      </c>
      <c r="C267" s="34" t="str">
        <f aca="false">IF($A267="Seçildi",IF('1-Ders Havuzu'!D89="","",'1-Ders Havuzu'!D89),"")</f>
        <v/>
      </c>
      <c r="D267" s="33" t="str">
        <f aca="false">IF($A267="Seçildi",IF('1-Ders Havuzu'!B89="","",'1-Ders Havuzu'!B89),"")</f>
        <v/>
      </c>
      <c r="E267" s="33" t="str">
        <f aca="false">IF($A267="Seçildi",IF('1-Ders Havuzu'!A89="","",'1-Ders Havuzu'!A89),"")</f>
        <v/>
      </c>
      <c r="F267" s="33" t="str">
        <f aca="false">IF($A267="Seçildi",IF('1-Ders Havuzu'!H89="","",'1-Ders Havuzu'!H89),"")</f>
        <v/>
      </c>
      <c r="G267" s="33" t="str">
        <f aca="false">IF($A267="Seçildi",IF('2-Ders-Öğr.Elemanı Eşleştirme'!H89="","",'2-Ders-Öğr.Elemanı Eşleştirme'!H89),"")</f>
        <v/>
      </c>
      <c r="H267" s="35" t="n">
        <v>3</v>
      </c>
      <c r="I267" s="36"/>
      <c r="J267" s="36"/>
      <c r="K267" s="36"/>
      <c r="L267" s="36"/>
      <c r="M267" s="33" t="str">
        <f aca="false">IF($J267="","",MATCH($J267,{"08.00";"09.00";"10.00";"11.00";"12.00";"13.00";"14.00";"15.00";"16.00";"17.00"},0))</f>
        <v/>
      </c>
      <c r="N267" s="33" t="str">
        <f aca="false">IF(OR($M267="",$K267=""),"",$M267+$K267-1)</f>
        <v/>
      </c>
      <c r="O267" s="33" t="str">
        <f aca="false">IF($A267&lt;&gt;"Seçildi","",IF(OR($M267="",$N267=""),"",IF($N267&gt;10,"⚠ Saat Taşıyor","")))</f>
        <v/>
      </c>
      <c r="P267" s="33" t="str">
        <f aca="false">IF($A267&lt;&gt;"Seçildi","",IF(OR($G267="",$I267="",$M267=""),"",IF(SUMPRODUCT(($A$7:$A$456="Seçildi")*($G$7:$G$456=$G267)*($I$7:$I$456=$I267)*(ROW($A$7:$A$456)&lt;&gt;267)*($M$7:$M$456&lt;=$N267)*($N$7:$N$456&gt;=$M267))&gt;0,"⚠ Çakışma","OK")))</f>
        <v/>
      </c>
      <c r="Q267" s="33" t="str">
        <f aca="false">IF($A267&lt;&gt;"Seçildi","",IF(OR($L267="",$I267="",$M267=""),"",IF(SUMPRODUCT(($A$7:$A$456="Seçildi")*($L$7:$L$456=$L267)*($I$7:$I$456=$I267)*(ROW($A$7:$A$456)&lt;&gt;267)*($M$7:$M$456&lt;=$N267)*($N$7:$N$456&gt;=$M267))&gt;0,"⚠ Çakışma","OK")))</f>
        <v/>
      </c>
      <c r="R267" s="33" t="str">
        <f aca="false">IF($A267&lt;&gt;"Seçildi","",IF(OR($D267="",$I267="",$M267=""),"",IF(SUMPRODUCT(($A$7:$A$456="Seçildi")*($D$7:$D$456=$D267)*($I$7:$I$456=$I267)*(ROW($A$7:$A$456)&lt;&gt;267)*($M$7:$M$456&lt;=$N267)*($N$7:$N$456&gt;=$M267))&gt;0,"⚠ Çakışma","OK")))</f>
        <v/>
      </c>
      <c r="S267" s="33"/>
      <c r="T267" s="33" t="str">
        <f aca="false">IF(OR($A267&lt;&gt;"Seçildi",AND($I267="",$J267="")),"",IF(OR($O267&lt;&gt;"",$P267="⚠ Çakışma",$Q267="⚠ Çakışma",$R267="⚠ Çakışma"),"⚠ Kontrol Et","✓ Uygun"))</f>
        <v/>
      </c>
    </row>
    <row r="268" customFormat="false" ht="13.5" hidden="false" customHeight="true" outlineLevel="0" collapsed="false">
      <c r="A268" s="37" t="str">
        <f aca="false">'1-Ders Havuzu'!K90</f>
        <v>Seçilmedi</v>
      </c>
      <c r="B268" s="37" t="str">
        <f aca="false">IF($A268="Seçildi",IF('1-Ders Havuzu'!C90="","",'1-Ders Havuzu'!C90),"")</f>
        <v/>
      </c>
      <c r="C268" s="38" t="str">
        <f aca="false">IF($A268="Seçildi",IF('1-Ders Havuzu'!D90="","",'1-Ders Havuzu'!D90),"")</f>
        <v/>
      </c>
      <c r="D268" s="37" t="str">
        <f aca="false">IF($A268="Seçildi",IF('1-Ders Havuzu'!B90="","",'1-Ders Havuzu'!B90),"")</f>
        <v/>
      </c>
      <c r="E268" s="37" t="str">
        <f aca="false">IF($A268="Seçildi",IF('1-Ders Havuzu'!A90="","",'1-Ders Havuzu'!A90),"")</f>
        <v/>
      </c>
      <c r="F268" s="37" t="str">
        <f aca="false">IF($A268="Seçildi",IF('1-Ders Havuzu'!H90="","",'1-Ders Havuzu'!H90),"")</f>
        <v/>
      </c>
      <c r="G268" s="37" t="str">
        <f aca="false">IF($A268="Seçildi",IF('2-Ders-Öğr.Elemanı Eşleştirme'!H90="","",'2-Ders-Öğr.Elemanı Eşleştirme'!H90),"")</f>
        <v/>
      </c>
      <c r="H268" s="39" t="n">
        <v>1</v>
      </c>
      <c r="I268" s="36"/>
      <c r="J268" s="36"/>
      <c r="K268" s="36"/>
      <c r="L268" s="36"/>
      <c r="M268" s="37" t="str">
        <f aca="false">IF($J268="","",MATCH($J268,{"08.00";"09.00";"10.00";"11.00";"12.00";"13.00";"14.00";"15.00";"16.00";"17.00"},0))</f>
        <v/>
      </c>
      <c r="N268" s="37" t="str">
        <f aca="false">IF(OR($M268="",$K268=""),"",$M268+$K268-1)</f>
        <v/>
      </c>
      <c r="O268" s="37" t="str">
        <f aca="false">IF($A268&lt;&gt;"Seçildi","",IF(OR($M268="",$N268=""),"",IF($N268&gt;10,"⚠ Saat Taşıyor","")))</f>
        <v/>
      </c>
      <c r="P268" s="37" t="str">
        <f aca="false">IF($A268&lt;&gt;"Seçildi","",IF(OR($G268="",$I268="",$M268=""),"",IF(SUMPRODUCT(($A$7:$A$456="Seçildi")*($G$7:$G$456=$G268)*($I$7:$I$456=$I268)*(ROW($A$7:$A$456)&lt;&gt;268)*($M$7:$M$456&lt;=$N268)*($N$7:$N$456&gt;=$M268))&gt;0,"⚠ Çakışma","OK")))</f>
        <v/>
      </c>
      <c r="Q268" s="37" t="str">
        <f aca="false">IF($A268&lt;&gt;"Seçildi","",IF(OR($L268="",$I268="",$M268=""),"",IF(SUMPRODUCT(($A$7:$A$456="Seçildi")*($L$7:$L$456=$L268)*($I$7:$I$456=$I268)*(ROW($A$7:$A$456)&lt;&gt;268)*($M$7:$M$456&lt;=$N268)*($N$7:$N$456&gt;=$M268))&gt;0,"⚠ Çakışma","OK")))</f>
        <v/>
      </c>
      <c r="R268" s="37" t="str">
        <f aca="false">IF($A268&lt;&gt;"Seçildi","",IF(OR($D268="",$I268="",$M268=""),"",IF(SUMPRODUCT(($A$7:$A$456="Seçildi")*($D$7:$D$456=$D268)*($I$7:$I$456=$I268)*(ROW($A$7:$A$456)&lt;&gt;268)*($M$7:$M$456&lt;=$N268)*($N$7:$N$456&gt;=$M268))&gt;0,"⚠ Çakışma","OK")))</f>
        <v/>
      </c>
      <c r="S268" s="37" t="str">
        <f aca="false">IF($A268&lt;&gt;"Seçildi","",IF(SUM($K268,$K269,$K270)&lt;&gt;$F268,"⚠ Dağılım: "&amp;SUM($K268:$K270)&amp;"/"&amp;$F268&amp;" saat","✓ Tamam"))</f>
        <v/>
      </c>
      <c r="T268" s="37" t="str">
        <f aca="false">IF($A268&lt;&gt;"Seçildi","",IF(OR($O268&lt;&gt;"",$P268="⚠ Çakışma",$Q268="⚠ Çakışma",$R268="⚠ Çakışma",LEFT($S268&amp;" ",1)="⚠"),"⚠ Kontrol Et","✓ Uygun"))</f>
        <v/>
      </c>
    </row>
    <row r="269" customFormat="false" ht="13.5" hidden="false" customHeight="true" outlineLevel="0" collapsed="false">
      <c r="A269" s="37" t="str">
        <f aca="false">'1-Ders Havuzu'!K90</f>
        <v>Seçilmedi</v>
      </c>
      <c r="B269" s="37" t="str">
        <f aca="false">IF($A269="Seçildi",IF('1-Ders Havuzu'!C90="","",'1-Ders Havuzu'!C90),"")</f>
        <v/>
      </c>
      <c r="C269" s="38" t="str">
        <f aca="false">IF($A269="Seçildi",IF('1-Ders Havuzu'!D90="","",'1-Ders Havuzu'!D90),"")</f>
        <v/>
      </c>
      <c r="D269" s="37" t="str">
        <f aca="false">IF($A269="Seçildi",IF('1-Ders Havuzu'!B90="","",'1-Ders Havuzu'!B90),"")</f>
        <v/>
      </c>
      <c r="E269" s="37" t="str">
        <f aca="false">IF($A269="Seçildi",IF('1-Ders Havuzu'!A90="","",'1-Ders Havuzu'!A90),"")</f>
        <v/>
      </c>
      <c r="F269" s="37" t="str">
        <f aca="false">IF($A269="Seçildi",IF('1-Ders Havuzu'!H90="","",'1-Ders Havuzu'!H90),"")</f>
        <v/>
      </c>
      <c r="G269" s="37" t="str">
        <f aca="false">IF($A269="Seçildi",IF('2-Ders-Öğr.Elemanı Eşleştirme'!H90="","",'2-Ders-Öğr.Elemanı Eşleştirme'!H90),"")</f>
        <v/>
      </c>
      <c r="H269" s="39" t="n">
        <v>2</v>
      </c>
      <c r="I269" s="36"/>
      <c r="J269" s="36"/>
      <c r="K269" s="36"/>
      <c r="L269" s="36"/>
      <c r="M269" s="37" t="str">
        <f aca="false">IF($J269="","",MATCH($J269,{"08.00";"09.00";"10.00";"11.00";"12.00";"13.00";"14.00";"15.00";"16.00";"17.00"},0))</f>
        <v/>
      </c>
      <c r="N269" s="37" t="str">
        <f aca="false">IF(OR($M269="",$K269=""),"",$M269+$K269-1)</f>
        <v/>
      </c>
      <c r="O269" s="37" t="str">
        <f aca="false">IF($A269&lt;&gt;"Seçildi","",IF(OR($M269="",$N269=""),"",IF($N269&gt;10,"⚠ Saat Taşıyor","")))</f>
        <v/>
      </c>
      <c r="P269" s="37" t="str">
        <f aca="false">IF($A269&lt;&gt;"Seçildi","",IF(OR($G269="",$I269="",$M269=""),"",IF(SUMPRODUCT(($A$7:$A$456="Seçildi")*($G$7:$G$456=$G269)*($I$7:$I$456=$I269)*(ROW($A$7:$A$456)&lt;&gt;269)*($M$7:$M$456&lt;=$N269)*($N$7:$N$456&gt;=$M269))&gt;0,"⚠ Çakışma","OK")))</f>
        <v/>
      </c>
      <c r="Q269" s="37" t="str">
        <f aca="false">IF($A269&lt;&gt;"Seçildi","",IF(OR($L269="",$I269="",$M269=""),"",IF(SUMPRODUCT(($A$7:$A$456="Seçildi")*($L$7:$L$456=$L269)*($I$7:$I$456=$I269)*(ROW($A$7:$A$456)&lt;&gt;269)*($M$7:$M$456&lt;=$N269)*($N$7:$N$456&gt;=$M269))&gt;0,"⚠ Çakışma","OK")))</f>
        <v/>
      </c>
      <c r="R269" s="37" t="str">
        <f aca="false">IF($A269&lt;&gt;"Seçildi","",IF(OR($D269="",$I269="",$M269=""),"",IF(SUMPRODUCT(($A$7:$A$456="Seçildi")*($D$7:$D$456=$D269)*($I$7:$I$456=$I269)*(ROW($A$7:$A$456)&lt;&gt;269)*($M$7:$M$456&lt;=$N269)*($N$7:$N$456&gt;=$M269))&gt;0,"⚠ Çakışma","OK")))</f>
        <v/>
      </c>
      <c r="S269" s="37"/>
      <c r="T269" s="37" t="str">
        <f aca="false">IF(OR($A269&lt;&gt;"Seçildi",AND($I269="",$J269="")),"",IF(OR($O269&lt;&gt;"",$P269="⚠ Çakışma",$Q269="⚠ Çakışma",$R269="⚠ Çakışma"),"⚠ Kontrol Et","✓ Uygun"))</f>
        <v/>
      </c>
    </row>
    <row r="270" customFormat="false" ht="13.5" hidden="false" customHeight="true" outlineLevel="0" collapsed="false">
      <c r="A270" s="37" t="str">
        <f aca="false">'1-Ders Havuzu'!K90</f>
        <v>Seçilmedi</v>
      </c>
      <c r="B270" s="37" t="str">
        <f aca="false">IF($A270="Seçildi",IF('1-Ders Havuzu'!C90="","",'1-Ders Havuzu'!C90),"")</f>
        <v/>
      </c>
      <c r="C270" s="38" t="str">
        <f aca="false">IF($A270="Seçildi",IF('1-Ders Havuzu'!D90="","",'1-Ders Havuzu'!D90),"")</f>
        <v/>
      </c>
      <c r="D270" s="37" t="str">
        <f aca="false">IF($A270="Seçildi",IF('1-Ders Havuzu'!B90="","",'1-Ders Havuzu'!B90),"")</f>
        <v/>
      </c>
      <c r="E270" s="37" t="str">
        <f aca="false">IF($A270="Seçildi",IF('1-Ders Havuzu'!A90="","",'1-Ders Havuzu'!A90),"")</f>
        <v/>
      </c>
      <c r="F270" s="37" t="str">
        <f aca="false">IF($A270="Seçildi",IF('1-Ders Havuzu'!H90="","",'1-Ders Havuzu'!H90),"")</f>
        <v/>
      </c>
      <c r="G270" s="37" t="str">
        <f aca="false">IF($A270="Seçildi",IF('2-Ders-Öğr.Elemanı Eşleştirme'!H90="","",'2-Ders-Öğr.Elemanı Eşleştirme'!H90),"")</f>
        <v/>
      </c>
      <c r="H270" s="39" t="n">
        <v>3</v>
      </c>
      <c r="I270" s="36"/>
      <c r="J270" s="36"/>
      <c r="K270" s="36"/>
      <c r="L270" s="36"/>
      <c r="M270" s="37" t="str">
        <f aca="false">IF($J270="","",MATCH($J270,{"08.00";"09.00";"10.00";"11.00";"12.00";"13.00";"14.00";"15.00";"16.00";"17.00"},0))</f>
        <v/>
      </c>
      <c r="N270" s="37" t="str">
        <f aca="false">IF(OR($M270="",$K270=""),"",$M270+$K270-1)</f>
        <v/>
      </c>
      <c r="O270" s="37" t="str">
        <f aca="false">IF($A270&lt;&gt;"Seçildi","",IF(OR($M270="",$N270=""),"",IF($N270&gt;10,"⚠ Saat Taşıyor","")))</f>
        <v/>
      </c>
      <c r="P270" s="37" t="str">
        <f aca="false">IF($A270&lt;&gt;"Seçildi","",IF(OR($G270="",$I270="",$M270=""),"",IF(SUMPRODUCT(($A$7:$A$456="Seçildi")*($G$7:$G$456=$G270)*($I$7:$I$456=$I270)*(ROW($A$7:$A$456)&lt;&gt;270)*($M$7:$M$456&lt;=$N270)*($N$7:$N$456&gt;=$M270))&gt;0,"⚠ Çakışma","OK")))</f>
        <v/>
      </c>
      <c r="Q270" s="37" t="str">
        <f aca="false">IF($A270&lt;&gt;"Seçildi","",IF(OR($L270="",$I270="",$M270=""),"",IF(SUMPRODUCT(($A$7:$A$456="Seçildi")*($L$7:$L$456=$L270)*($I$7:$I$456=$I270)*(ROW($A$7:$A$456)&lt;&gt;270)*($M$7:$M$456&lt;=$N270)*($N$7:$N$456&gt;=$M270))&gt;0,"⚠ Çakışma","OK")))</f>
        <v/>
      </c>
      <c r="R270" s="37" t="str">
        <f aca="false">IF($A270&lt;&gt;"Seçildi","",IF(OR($D270="",$I270="",$M270=""),"",IF(SUMPRODUCT(($A$7:$A$456="Seçildi")*($D$7:$D$456=$D270)*($I$7:$I$456=$I270)*(ROW($A$7:$A$456)&lt;&gt;270)*($M$7:$M$456&lt;=$N270)*($N$7:$N$456&gt;=$M270))&gt;0,"⚠ Çakışma","OK")))</f>
        <v/>
      </c>
      <c r="S270" s="37"/>
      <c r="T270" s="37" t="str">
        <f aca="false">IF(OR($A270&lt;&gt;"Seçildi",AND($I270="",$J270="")),"",IF(OR($O270&lt;&gt;"",$P270="⚠ Çakışma",$Q270="⚠ Çakışma",$R270="⚠ Çakışma"),"⚠ Kontrol Et","✓ Uygun"))</f>
        <v/>
      </c>
    </row>
    <row r="271" customFormat="false" ht="13.5" hidden="false" customHeight="true" outlineLevel="0" collapsed="false">
      <c r="A271" s="33" t="str">
        <f aca="false">'1-Ders Havuzu'!K91</f>
        <v>Seçilmedi</v>
      </c>
      <c r="B271" s="33" t="str">
        <f aca="false">IF($A271="Seçildi",IF('1-Ders Havuzu'!C91="","",'1-Ders Havuzu'!C91),"")</f>
        <v/>
      </c>
      <c r="C271" s="34" t="str">
        <f aca="false">IF($A271="Seçildi",IF('1-Ders Havuzu'!D91="","",'1-Ders Havuzu'!D91),"")</f>
        <v/>
      </c>
      <c r="D271" s="33" t="str">
        <f aca="false">IF($A271="Seçildi",IF('1-Ders Havuzu'!B91="","",'1-Ders Havuzu'!B91),"")</f>
        <v/>
      </c>
      <c r="E271" s="33" t="str">
        <f aca="false">IF($A271="Seçildi",IF('1-Ders Havuzu'!A91="","",'1-Ders Havuzu'!A91),"")</f>
        <v/>
      </c>
      <c r="F271" s="33" t="str">
        <f aca="false">IF($A271="Seçildi",IF('1-Ders Havuzu'!H91="","",'1-Ders Havuzu'!H91),"")</f>
        <v/>
      </c>
      <c r="G271" s="33" t="str">
        <f aca="false">IF($A271="Seçildi",IF('2-Ders-Öğr.Elemanı Eşleştirme'!H91="","",'2-Ders-Öğr.Elemanı Eşleştirme'!H91),"")</f>
        <v/>
      </c>
      <c r="H271" s="35" t="n">
        <v>1</v>
      </c>
      <c r="I271" s="36"/>
      <c r="J271" s="36"/>
      <c r="K271" s="36"/>
      <c r="L271" s="36"/>
      <c r="M271" s="33" t="str">
        <f aca="false">IF($J271="","",MATCH($J271,{"08.00";"09.00";"10.00";"11.00";"12.00";"13.00";"14.00";"15.00";"16.00";"17.00"},0))</f>
        <v/>
      </c>
      <c r="N271" s="33" t="str">
        <f aca="false">IF(OR($M271="",$K271=""),"",$M271+$K271-1)</f>
        <v/>
      </c>
      <c r="O271" s="33" t="str">
        <f aca="false">IF($A271&lt;&gt;"Seçildi","",IF(OR($M271="",$N271=""),"",IF($N271&gt;10,"⚠ Saat Taşıyor","")))</f>
        <v/>
      </c>
      <c r="P271" s="33" t="str">
        <f aca="false">IF($A271&lt;&gt;"Seçildi","",IF(OR($G271="",$I271="",$M271=""),"",IF(SUMPRODUCT(($A$7:$A$456="Seçildi")*($G$7:$G$456=$G271)*($I$7:$I$456=$I271)*(ROW($A$7:$A$456)&lt;&gt;271)*($M$7:$M$456&lt;=$N271)*($N$7:$N$456&gt;=$M271))&gt;0,"⚠ Çakışma","OK")))</f>
        <v/>
      </c>
      <c r="Q271" s="33" t="str">
        <f aca="false">IF($A271&lt;&gt;"Seçildi","",IF(OR($L271="",$I271="",$M271=""),"",IF(SUMPRODUCT(($A$7:$A$456="Seçildi")*($L$7:$L$456=$L271)*($I$7:$I$456=$I271)*(ROW($A$7:$A$456)&lt;&gt;271)*($M$7:$M$456&lt;=$N271)*($N$7:$N$456&gt;=$M271))&gt;0,"⚠ Çakışma","OK")))</f>
        <v/>
      </c>
      <c r="R271" s="33" t="str">
        <f aca="false">IF($A271&lt;&gt;"Seçildi","",IF(OR($D271="",$I271="",$M271=""),"",IF(SUMPRODUCT(($A$7:$A$456="Seçildi")*($D$7:$D$456=$D271)*($I$7:$I$456=$I271)*(ROW($A$7:$A$456)&lt;&gt;271)*($M$7:$M$456&lt;=$N271)*($N$7:$N$456&gt;=$M271))&gt;0,"⚠ Çakışma","OK")))</f>
        <v/>
      </c>
      <c r="S271" s="33" t="str">
        <f aca="false">IF($A271&lt;&gt;"Seçildi","",IF(SUM($K271,$K272,$K273)&lt;&gt;$F271,"⚠ Dağılım: "&amp;SUM($K271:$K273)&amp;"/"&amp;$F271&amp;" saat","✓ Tamam"))</f>
        <v/>
      </c>
      <c r="T271" s="33" t="str">
        <f aca="false">IF($A271&lt;&gt;"Seçildi","",IF(OR($O271&lt;&gt;"",$P271="⚠ Çakışma",$Q271="⚠ Çakışma",$R271="⚠ Çakışma",LEFT($S271&amp;" ",1)="⚠"),"⚠ Kontrol Et","✓ Uygun"))</f>
        <v/>
      </c>
    </row>
    <row r="272" customFormat="false" ht="13.5" hidden="false" customHeight="true" outlineLevel="0" collapsed="false">
      <c r="A272" s="33" t="str">
        <f aca="false">'1-Ders Havuzu'!K91</f>
        <v>Seçilmedi</v>
      </c>
      <c r="B272" s="33" t="str">
        <f aca="false">IF($A272="Seçildi",IF('1-Ders Havuzu'!C91="","",'1-Ders Havuzu'!C91),"")</f>
        <v/>
      </c>
      <c r="C272" s="34" t="str">
        <f aca="false">IF($A272="Seçildi",IF('1-Ders Havuzu'!D91="","",'1-Ders Havuzu'!D91),"")</f>
        <v/>
      </c>
      <c r="D272" s="33" t="str">
        <f aca="false">IF($A272="Seçildi",IF('1-Ders Havuzu'!B91="","",'1-Ders Havuzu'!B91),"")</f>
        <v/>
      </c>
      <c r="E272" s="33" t="str">
        <f aca="false">IF($A272="Seçildi",IF('1-Ders Havuzu'!A91="","",'1-Ders Havuzu'!A91),"")</f>
        <v/>
      </c>
      <c r="F272" s="33" t="str">
        <f aca="false">IF($A272="Seçildi",IF('1-Ders Havuzu'!H91="","",'1-Ders Havuzu'!H91),"")</f>
        <v/>
      </c>
      <c r="G272" s="33" t="str">
        <f aca="false">IF($A272="Seçildi",IF('2-Ders-Öğr.Elemanı Eşleştirme'!H91="","",'2-Ders-Öğr.Elemanı Eşleştirme'!H91),"")</f>
        <v/>
      </c>
      <c r="H272" s="35" t="n">
        <v>2</v>
      </c>
      <c r="I272" s="36"/>
      <c r="J272" s="36"/>
      <c r="K272" s="36"/>
      <c r="L272" s="36"/>
      <c r="M272" s="33" t="str">
        <f aca="false">IF($J272="","",MATCH($J272,{"08.00";"09.00";"10.00";"11.00";"12.00";"13.00";"14.00";"15.00";"16.00";"17.00"},0))</f>
        <v/>
      </c>
      <c r="N272" s="33" t="str">
        <f aca="false">IF(OR($M272="",$K272=""),"",$M272+$K272-1)</f>
        <v/>
      </c>
      <c r="O272" s="33" t="str">
        <f aca="false">IF($A272&lt;&gt;"Seçildi","",IF(OR($M272="",$N272=""),"",IF($N272&gt;10,"⚠ Saat Taşıyor","")))</f>
        <v/>
      </c>
      <c r="P272" s="33" t="str">
        <f aca="false">IF($A272&lt;&gt;"Seçildi","",IF(OR($G272="",$I272="",$M272=""),"",IF(SUMPRODUCT(($A$7:$A$456="Seçildi")*($G$7:$G$456=$G272)*($I$7:$I$456=$I272)*(ROW($A$7:$A$456)&lt;&gt;272)*($M$7:$M$456&lt;=$N272)*($N$7:$N$456&gt;=$M272))&gt;0,"⚠ Çakışma","OK")))</f>
        <v/>
      </c>
      <c r="Q272" s="33" t="str">
        <f aca="false">IF($A272&lt;&gt;"Seçildi","",IF(OR($L272="",$I272="",$M272=""),"",IF(SUMPRODUCT(($A$7:$A$456="Seçildi")*($L$7:$L$456=$L272)*($I$7:$I$456=$I272)*(ROW($A$7:$A$456)&lt;&gt;272)*($M$7:$M$456&lt;=$N272)*($N$7:$N$456&gt;=$M272))&gt;0,"⚠ Çakışma","OK")))</f>
        <v/>
      </c>
      <c r="R272" s="33" t="str">
        <f aca="false">IF($A272&lt;&gt;"Seçildi","",IF(OR($D272="",$I272="",$M272=""),"",IF(SUMPRODUCT(($A$7:$A$456="Seçildi")*($D$7:$D$456=$D272)*($I$7:$I$456=$I272)*(ROW($A$7:$A$456)&lt;&gt;272)*($M$7:$M$456&lt;=$N272)*($N$7:$N$456&gt;=$M272))&gt;0,"⚠ Çakışma","OK")))</f>
        <v/>
      </c>
      <c r="S272" s="33"/>
      <c r="T272" s="33" t="str">
        <f aca="false">IF(OR($A272&lt;&gt;"Seçildi",AND($I272="",$J272="")),"",IF(OR($O272&lt;&gt;"",$P272="⚠ Çakışma",$Q272="⚠ Çakışma",$R272="⚠ Çakışma"),"⚠ Kontrol Et","✓ Uygun"))</f>
        <v/>
      </c>
    </row>
    <row r="273" customFormat="false" ht="13.5" hidden="false" customHeight="true" outlineLevel="0" collapsed="false">
      <c r="A273" s="33" t="str">
        <f aca="false">'1-Ders Havuzu'!K91</f>
        <v>Seçilmedi</v>
      </c>
      <c r="B273" s="33" t="str">
        <f aca="false">IF($A273="Seçildi",IF('1-Ders Havuzu'!C91="","",'1-Ders Havuzu'!C91),"")</f>
        <v/>
      </c>
      <c r="C273" s="34" t="str">
        <f aca="false">IF($A273="Seçildi",IF('1-Ders Havuzu'!D91="","",'1-Ders Havuzu'!D91),"")</f>
        <v/>
      </c>
      <c r="D273" s="33" t="str">
        <f aca="false">IF($A273="Seçildi",IF('1-Ders Havuzu'!B91="","",'1-Ders Havuzu'!B91),"")</f>
        <v/>
      </c>
      <c r="E273" s="33" t="str">
        <f aca="false">IF($A273="Seçildi",IF('1-Ders Havuzu'!A91="","",'1-Ders Havuzu'!A91),"")</f>
        <v/>
      </c>
      <c r="F273" s="33" t="str">
        <f aca="false">IF($A273="Seçildi",IF('1-Ders Havuzu'!H91="","",'1-Ders Havuzu'!H91),"")</f>
        <v/>
      </c>
      <c r="G273" s="33" t="str">
        <f aca="false">IF($A273="Seçildi",IF('2-Ders-Öğr.Elemanı Eşleştirme'!H91="","",'2-Ders-Öğr.Elemanı Eşleştirme'!H91),"")</f>
        <v/>
      </c>
      <c r="H273" s="35" t="n">
        <v>3</v>
      </c>
      <c r="I273" s="36"/>
      <c r="J273" s="36"/>
      <c r="K273" s="36"/>
      <c r="L273" s="36"/>
      <c r="M273" s="33" t="str">
        <f aca="false">IF($J273="","",MATCH($J273,{"08.00";"09.00";"10.00";"11.00";"12.00";"13.00";"14.00";"15.00";"16.00";"17.00"},0))</f>
        <v/>
      </c>
      <c r="N273" s="33" t="str">
        <f aca="false">IF(OR($M273="",$K273=""),"",$M273+$K273-1)</f>
        <v/>
      </c>
      <c r="O273" s="33" t="str">
        <f aca="false">IF($A273&lt;&gt;"Seçildi","",IF(OR($M273="",$N273=""),"",IF($N273&gt;10,"⚠ Saat Taşıyor","")))</f>
        <v/>
      </c>
      <c r="P273" s="33" t="str">
        <f aca="false">IF($A273&lt;&gt;"Seçildi","",IF(OR($G273="",$I273="",$M273=""),"",IF(SUMPRODUCT(($A$7:$A$456="Seçildi")*($G$7:$G$456=$G273)*($I$7:$I$456=$I273)*(ROW($A$7:$A$456)&lt;&gt;273)*($M$7:$M$456&lt;=$N273)*($N$7:$N$456&gt;=$M273))&gt;0,"⚠ Çakışma","OK")))</f>
        <v/>
      </c>
      <c r="Q273" s="33" t="str">
        <f aca="false">IF($A273&lt;&gt;"Seçildi","",IF(OR($L273="",$I273="",$M273=""),"",IF(SUMPRODUCT(($A$7:$A$456="Seçildi")*($L$7:$L$456=$L273)*($I$7:$I$456=$I273)*(ROW($A$7:$A$456)&lt;&gt;273)*($M$7:$M$456&lt;=$N273)*($N$7:$N$456&gt;=$M273))&gt;0,"⚠ Çakışma","OK")))</f>
        <v/>
      </c>
      <c r="R273" s="33" t="str">
        <f aca="false">IF($A273&lt;&gt;"Seçildi","",IF(OR($D273="",$I273="",$M273=""),"",IF(SUMPRODUCT(($A$7:$A$456="Seçildi")*($D$7:$D$456=$D273)*($I$7:$I$456=$I273)*(ROW($A$7:$A$456)&lt;&gt;273)*($M$7:$M$456&lt;=$N273)*($N$7:$N$456&gt;=$M273))&gt;0,"⚠ Çakışma","OK")))</f>
        <v/>
      </c>
      <c r="S273" s="33"/>
      <c r="T273" s="33" t="str">
        <f aca="false">IF(OR($A273&lt;&gt;"Seçildi",AND($I273="",$J273="")),"",IF(OR($O273&lt;&gt;"",$P273="⚠ Çakışma",$Q273="⚠ Çakışma",$R273="⚠ Çakışma"),"⚠ Kontrol Et","✓ Uygun"))</f>
        <v/>
      </c>
    </row>
    <row r="274" customFormat="false" ht="13.5" hidden="false" customHeight="true" outlineLevel="0" collapsed="false">
      <c r="A274" s="37" t="str">
        <f aca="false">'1-Ders Havuzu'!K92</f>
        <v>Seçilmedi</v>
      </c>
      <c r="B274" s="37" t="str">
        <f aca="false">IF($A274="Seçildi",IF('1-Ders Havuzu'!C92="","",'1-Ders Havuzu'!C92),"")</f>
        <v/>
      </c>
      <c r="C274" s="38" t="str">
        <f aca="false">IF($A274="Seçildi",IF('1-Ders Havuzu'!D92="","",'1-Ders Havuzu'!D92),"")</f>
        <v/>
      </c>
      <c r="D274" s="37" t="str">
        <f aca="false">IF($A274="Seçildi",IF('1-Ders Havuzu'!B92="","",'1-Ders Havuzu'!B92),"")</f>
        <v/>
      </c>
      <c r="E274" s="37" t="str">
        <f aca="false">IF($A274="Seçildi",IF('1-Ders Havuzu'!A92="","",'1-Ders Havuzu'!A92),"")</f>
        <v/>
      </c>
      <c r="F274" s="37" t="str">
        <f aca="false">IF($A274="Seçildi",IF('1-Ders Havuzu'!H92="","",'1-Ders Havuzu'!H92),"")</f>
        <v/>
      </c>
      <c r="G274" s="37" t="str">
        <f aca="false">IF($A274="Seçildi",IF('2-Ders-Öğr.Elemanı Eşleştirme'!H92="","",'2-Ders-Öğr.Elemanı Eşleştirme'!H92),"")</f>
        <v/>
      </c>
      <c r="H274" s="39" t="n">
        <v>1</v>
      </c>
      <c r="I274" s="36"/>
      <c r="J274" s="36"/>
      <c r="K274" s="36"/>
      <c r="L274" s="36"/>
      <c r="M274" s="37" t="str">
        <f aca="false">IF($J274="","",MATCH($J274,{"08.00";"09.00";"10.00";"11.00";"12.00";"13.00";"14.00";"15.00";"16.00";"17.00"},0))</f>
        <v/>
      </c>
      <c r="N274" s="37" t="str">
        <f aca="false">IF(OR($M274="",$K274=""),"",$M274+$K274-1)</f>
        <v/>
      </c>
      <c r="O274" s="37" t="str">
        <f aca="false">IF($A274&lt;&gt;"Seçildi","",IF(OR($M274="",$N274=""),"",IF($N274&gt;10,"⚠ Saat Taşıyor","")))</f>
        <v/>
      </c>
      <c r="P274" s="37" t="str">
        <f aca="false">IF($A274&lt;&gt;"Seçildi","",IF(OR($G274="",$I274="",$M274=""),"",IF(SUMPRODUCT(($A$7:$A$456="Seçildi")*($G$7:$G$456=$G274)*($I$7:$I$456=$I274)*(ROW($A$7:$A$456)&lt;&gt;274)*($M$7:$M$456&lt;=$N274)*($N$7:$N$456&gt;=$M274))&gt;0,"⚠ Çakışma","OK")))</f>
        <v/>
      </c>
      <c r="Q274" s="37" t="str">
        <f aca="false">IF($A274&lt;&gt;"Seçildi","",IF(OR($L274="",$I274="",$M274=""),"",IF(SUMPRODUCT(($A$7:$A$456="Seçildi")*($L$7:$L$456=$L274)*($I$7:$I$456=$I274)*(ROW($A$7:$A$456)&lt;&gt;274)*($M$7:$M$456&lt;=$N274)*($N$7:$N$456&gt;=$M274))&gt;0,"⚠ Çakışma","OK")))</f>
        <v/>
      </c>
      <c r="R274" s="37" t="str">
        <f aca="false">IF($A274&lt;&gt;"Seçildi","",IF(OR($D274="",$I274="",$M274=""),"",IF(SUMPRODUCT(($A$7:$A$456="Seçildi")*($D$7:$D$456=$D274)*($I$7:$I$456=$I274)*(ROW($A$7:$A$456)&lt;&gt;274)*($M$7:$M$456&lt;=$N274)*($N$7:$N$456&gt;=$M274))&gt;0,"⚠ Çakışma","OK")))</f>
        <v/>
      </c>
      <c r="S274" s="37" t="str">
        <f aca="false">IF($A274&lt;&gt;"Seçildi","",IF(SUM($K274,$K275,$K276)&lt;&gt;$F274,"⚠ Dağılım: "&amp;SUM($K274:$K276)&amp;"/"&amp;$F274&amp;" saat","✓ Tamam"))</f>
        <v/>
      </c>
      <c r="T274" s="37" t="str">
        <f aca="false">IF($A274&lt;&gt;"Seçildi","",IF(OR($O274&lt;&gt;"",$P274="⚠ Çakışma",$Q274="⚠ Çakışma",$R274="⚠ Çakışma",LEFT($S274&amp;" ",1)="⚠"),"⚠ Kontrol Et","✓ Uygun"))</f>
        <v/>
      </c>
    </row>
    <row r="275" customFormat="false" ht="13.5" hidden="false" customHeight="true" outlineLevel="0" collapsed="false">
      <c r="A275" s="37" t="str">
        <f aca="false">'1-Ders Havuzu'!K92</f>
        <v>Seçilmedi</v>
      </c>
      <c r="B275" s="37" t="str">
        <f aca="false">IF($A275="Seçildi",IF('1-Ders Havuzu'!C92="","",'1-Ders Havuzu'!C92),"")</f>
        <v/>
      </c>
      <c r="C275" s="38" t="str">
        <f aca="false">IF($A275="Seçildi",IF('1-Ders Havuzu'!D92="","",'1-Ders Havuzu'!D92),"")</f>
        <v/>
      </c>
      <c r="D275" s="37" t="str">
        <f aca="false">IF($A275="Seçildi",IF('1-Ders Havuzu'!B92="","",'1-Ders Havuzu'!B92),"")</f>
        <v/>
      </c>
      <c r="E275" s="37" t="str">
        <f aca="false">IF($A275="Seçildi",IF('1-Ders Havuzu'!A92="","",'1-Ders Havuzu'!A92),"")</f>
        <v/>
      </c>
      <c r="F275" s="37" t="str">
        <f aca="false">IF($A275="Seçildi",IF('1-Ders Havuzu'!H92="","",'1-Ders Havuzu'!H92),"")</f>
        <v/>
      </c>
      <c r="G275" s="37" t="str">
        <f aca="false">IF($A275="Seçildi",IF('2-Ders-Öğr.Elemanı Eşleştirme'!H92="","",'2-Ders-Öğr.Elemanı Eşleştirme'!H92),"")</f>
        <v/>
      </c>
      <c r="H275" s="39" t="n">
        <v>2</v>
      </c>
      <c r="I275" s="36"/>
      <c r="J275" s="36"/>
      <c r="K275" s="36"/>
      <c r="L275" s="36"/>
      <c r="M275" s="37" t="str">
        <f aca="false">IF($J275="","",MATCH($J275,{"08.00";"09.00";"10.00";"11.00";"12.00";"13.00";"14.00";"15.00";"16.00";"17.00"},0))</f>
        <v/>
      </c>
      <c r="N275" s="37" t="str">
        <f aca="false">IF(OR($M275="",$K275=""),"",$M275+$K275-1)</f>
        <v/>
      </c>
      <c r="O275" s="37" t="str">
        <f aca="false">IF($A275&lt;&gt;"Seçildi","",IF(OR($M275="",$N275=""),"",IF($N275&gt;10,"⚠ Saat Taşıyor","")))</f>
        <v/>
      </c>
      <c r="P275" s="37" t="str">
        <f aca="false">IF($A275&lt;&gt;"Seçildi","",IF(OR($G275="",$I275="",$M275=""),"",IF(SUMPRODUCT(($A$7:$A$456="Seçildi")*($G$7:$G$456=$G275)*($I$7:$I$456=$I275)*(ROW($A$7:$A$456)&lt;&gt;275)*($M$7:$M$456&lt;=$N275)*($N$7:$N$456&gt;=$M275))&gt;0,"⚠ Çakışma","OK")))</f>
        <v/>
      </c>
      <c r="Q275" s="37" t="str">
        <f aca="false">IF($A275&lt;&gt;"Seçildi","",IF(OR($L275="",$I275="",$M275=""),"",IF(SUMPRODUCT(($A$7:$A$456="Seçildi")*($L$7:$L$456=$L275)*($I$7:$I$456=$I275)*(ROW($A$7:$A$456)&lt;&gt;275)*($M$7:$M$456&lt;=$N275)*($N$7:$N$456&gt;=$M275))&gt;0,"⚠ Çakışma","OK")))</f>
        <v/>
      </c>
      <c r="R275" s="37" t="str">
        <f aca="false">IF($A275&lt;&gt;"Seçildi","",IF(OR($D275="",$I275="",$M275=""),"",IF(SUMPRODUCT(($A$7:$A$456="Seçildi")*($D$7:$D$456=$D275)*($I$7:$I$456=$I275)*(ROW($A$7:$A$456)&lt;&gt;275)*($M$7:$M$456&lt;=$N275)*($N$7:$N$456&gt;=$M275))&gt;0,"⚠ Çakışma","OK")))</f>
        <v/>
      </c>
      <c r="S275" s="37"/>
      <c r="T275" s="37" t="str">
        <f aca="false">IF(OR($A275&lt;&gt;"Seçildi",AND($I275="",$J275="")),"",IF(OR($O275&lt;&gt;"",$P275="⚠ Çakışma",$Q275="⚠ Çakışma",$R275="⚠ Çakışma"),"⚠ Kontrol Et","✓ Uygun"))</f>
        <v/>
      </c>
    </row>
    <row r="276" customFormat="false" ht="13.5" hidden="false" customHeight="true" outlineLevel="0" collapsed="false">
      <c r="A276" s="37" t="str">
        <f aca="false">'1-Ders Havuzu'!K92</f>
        <v>Seçilmedi</v>
      </c>
      <c r="B276" s="37" t="str">
        <f aca="false">IF($A276="Seçildi",IF('1-Ders Havuzu'!C92="","",'1-Ders Havuzu'!C92),"")</f>
        <v/>
      </c>
      <c r="C276" s="38" t="str">
        <f aca="false">IF($A276="Seçildi",IF('1-Ders Havuzu'!D92="","",'1-Ders Havuzu'!D92),"")</f>
        <v/>
      </c>
      <c r="D276" s="37" t="str">
        <f aca="false">IF($A276="Seçildi",IF('1-Ders Havuzu'!B92="","",'1-Ders Havuzu'!B92),"")</f>
        <v/>
      </c>
      <c r="E276" s="37" t="str">
        <f aca="false">IF($A276="Seçildi",IF('1-Ders Havuzu'!A92="","",'1-Ders Havuzu'!A92),"")</f>
        <v/>
      </c>
      <c r="F276" s="37" t="str">
        <f aca="false">IF($A276="Seçildi",IF('1-Ders Havuzu'!H92="","",'1-Ders Havuzu'!H92),"")</f>
        <v/>
      </c>
      <c r="G276" s="37" t="str">
        <f aca="false">IF($A276="Seçildi",IF('2-Ders-Öğr.Elemanı Eşleştirme'!H92="","",'2-Ders-Öğr.Elemanı Eşleştirme'!H92),"")</f>
        <v/>
      </c>
      <c r="H276" s="39" t="n">
        <v>3</v>
      </c>
      <c r="I276" s="36"/>
      <c r="J276" s="36"/>
      <c r="K276" s="36"/>
      <c r="L276" s="36"/>
      <c r="M276" s="37" t="str">
        <f aca="false">IF($J276="","",MATCH($J276,{"08.00";"09.00";"10.00";"11.00";"12.00";"13.00";"14.00";"15.00";"16.00";"17.00"},0))</f>
        <v/>
      </c>
      <c r="N276" s="37" t="str">
        <f aca="false">IF(OR($M276="",$K276=""),"",$M276+$K276-1)</f>
        <v/>
      </c>
      <c r="O276" s="37" t="str">
        <f aca="false">IF($A276&lt;&gt;"Seçildi","",IF(OR($M276="",$N276=""),"",IF($N276&gt;10,"⚠ Saat Taşıyor","")))</f>
        <v/>
      </c>
      <c r="P276" s="37" t="str">
        <f aca="false">IF($A276&lt;&gt;"Seçildi","",IF(OR($G276="",$I276="",$M276=""),"",IF(SUMPRODUCT(($A$7:$A$456="Seçildi")*($G$7:$G$456=$G276)*($I$7:$I$456=$I276)*(ROW($A$7:$A$456)&lt;&gt;276)*($M$7:$M$456&lt;=$N276)*($N$7:$N$456&gt;=$M276))&gt;0,"⚠ Çakışma","OK")))</f>
        <v/>
      </c>
      <c r="Q276" s="37" t="str">
        <f aca="false">IF($A276&lt;&gt;"Seçildi","",IF(OR($L276="",$I276="",$M276=""),"",IF(SUMPRODUCT(($A$7:$A$456="Seçildi")*($L$7:$L$456=$L276)*($I$7:$I$456=$I276)*(ROW($A$7:$A$456)&lt;&gt;276)*($M$7:$M$456&lt;=$N276)*($N$7:$N$456&gt;=$M276))&gt;0,"⚠ Çakışma","OK")))</f>
        <v/>
      </c>
      <c r="R276" s="37" t="str">
        <f aca="false">IF($A276&lt;&gt;"Seçildi","",IF(OR($D276="",$I276="",$M276=""),"",IF(SUMPRODUCT(($A$7:$A$456="Seçildi")*($D$7:$D$456=$D276)*($I$7:$I$456=$I276)*(ROW($A$7:$A$456)&lt;&gt;276)*($M$7:$M$456&lt;=$N276)*($N$7:$N$456&gt;=$M276))&gt;0,"⚠ Çakışma","OK")))</f>
        <v/>
      </c>
      <c r="S276" s="37"/>
      <c r="T276" s="37" t="str">
        <f aca="false">IF(OR($A276&lt;&gt;"Seçildi",AND($I276="",$J276="")),"",IF(OR($O276&lt;&gt;"",$P276="⚠ Çakışma",$Q276="⚠ Çakışma",$R276="⚠ Çakışma"),"⚠ Kontrol Et","✓ Uygun"))</f>
        <v/>
      </c>
    </row>
    <row r="277" customFormat="false" ht="13.5" hidden="false" customHeight="true" outlineLevel="0" collapsed="false">
      <c r="A277" s="33" t="str">
        <f aca="false">'1-Ders Havuzu'!K93</f>
        <v>Seçilmedi</v>
      </c>
      <c r="B277" s="33" t="str">
        <f aca="false">IF($A277="Seçildi",IF('1-Ders Havuzu'!C93="","",'1-Ders Havuzu'!C93),"")</f>
        <v/>
      </c>
      <c r="C277" s="34" t="str">
        <f aca="false">IF($A277="Seçildi",IF('1-Ders Havuzu'!D93="","",'1-Ders Havuzu'!D93),"")</f>
        <v/>
      </c>
      <c r="D277" s="33" t="str">
        <f aca="false">IF($A277="Seçildi",IF('1-Ders Havuzu'!B93="","",'1-Ders Havuzu'!B93),"")</f>
        <v/>
      </c>
      <c r="E277" s="33" t="str">
        <f aca="false">IF($A277="Seçildi",IF('1-Ders Havuzu'!A93="","",'1-Ders Havuzu'!A93),"")</f>
        <v/>
      </c>
      <c r="F277" s="33" t="str">
        <f aca="false">IF($A277="Seçildi",IF('1-Ders Havuzu'!H93="","",'1-Ders Havuzu'!H93),"")</f>
        <v/>
      </c>
      <c r="G277" s="33" t="str">
        <f aca="false">IF($A277="Seçildi",IF('2-Ders-Öğr.Elemanı Eşleştirme'!H93="","",'2-Ders-Öğr.Elemanı Eşleştirme'!H93),"")</f>
        <v/>
      </c>
      <c r="H277" s="35" t="n">
        <v>1</v>
      </c>
      <c r="I277" s="36"/>
      <c r="J277" s="36"/>
      <c r="K277" s="36"/>
      <c r="L277" s="36"/>
      <c r="M277" s="33" t="str">
        <f aca="false">IF($J277="","",MATCH($J277,{"08.00";"09.00";"10.00";"11.00";"12.00";"13.00";"14.00";"15.00";"16.00";"17.00"},0))</f>
        <v/>
      </c>
      <c r="N277" s="33" t="str">
        <f aca="false">IF(OR($M277="",$K277=""),"",$M277+$K277-1)</f>
        <v/>
      </c>
      <c r="O277" s="33" t="str">
        <f aca="false">IF($A277&lt;&gt;"Seçildi","",IF(OR($M277="",$N277=""),"",IF($N277&gt;10,"⚠ Saat Taşıyor","")))</f>
        <v/>
      </c>
      <c r="P277" s="33" t="str">
        <f aca="false">IF($A277&lt;&gt;"Seçildi","",IF(OR($G277="",$I277="",$M277=""),"",IF(SUMPRODUCT(($A$7:$A$456="Seçildi")*($G$7:$G$456=$G277)*($I$7:$I$456=$I277)*(ROW($A$7:$A$456)&lt;&gt;277)*($M$7:$M$456&lt;=$N277)*($N$7:$N$456&gt;=$M277))&gt;0,"⚠ Çakışma","OK")))</f>
        <v/>
      </c>
      <c r="Q277" s="33" t="str">
        <f aca="false">IF($A277&lt;&gt;"Seçildi","",IF(OR($L277="",$I277="",$M277=""),"",IF(SUMPRODUCT(($A$7:$A$456="Seçildi")*($L$7:$L$456=$L277)*($I$7:$I$456=$I277)*(ROW($A$7:$A$456)&lt;&gt;277)*($M$7:$M$456&lt;=$N277)*($N$7:$N$456&gt;=$M277))&gt;0,"⚠ Çakışma","OK")))</f>
        <v/>
      </c>
      <c r="R277" s="33" t="str">
        <f aca="false">IF($A277&lt;&gt;"Seçildi","",IF(OR($D277="",$I277="",$M277=""),"",IF(SUMPRODUCT(($A$7:$A$456="Seçildi")*($D$7:$D$456=$D277)*($I$7:$I$456=$I277)*(ROW($A$7:$A$456)&lt;&gt;277)*($M$7:$M$456&lt;=$N277)*($N$7:$N$456&gt;=$M277))&gt;0,"⚠ Çakışma","OK")))</f>
        <v/>
      </c>
      <c r="S277" s="33" t="str">
        <f aca="false">IF($A277&lt;&gt;"Seçildi","",IF(SUM($K277,$K278,$K279)&lt;&gt;$F277,"⚠ Dağılım: "&amp;SUM($K277:$K279)&amp;"/"&amp;$F277&amp;" saat","✓ Tamam"))</f>
        <v/>
      </c>
      <c r="T277" s="33" t="str">
        <f aca="false">IF($A277&lt;&gt;"Seçildi","",IF(OR($O277&lt;&gt;"",$P277="⚠ Çakışma",$Q277="⚠ Çakışma",$R277="⚠ Çakışma",LEFT($S277&amp;" ",1)="⚠"),"⚠ Kontrol Et","✓ Uygun"))</f>
        <v/>
      </c>
    </row>
    <row r="278" customFormat="false" ht="13.5" hidden="false" customHeight="true" outlineLevel="0" collapsed="false">
      <c r="A278" s="33" t="str">
        <f aca="false">'1-Ders Havuzu'!K93</f>
        <v>Seçilmedi</v>
      </c>
      <c r="B278" s="33" t="str">
        <f aca="false">IF($A278="Seçildi",IF('1-Ders Havuzu'!C93="","",'1-Ders Havuzu'!C93),"")</f>
        <v/>
      </c>
      <c r="C278" s="34" t="str">
        <f aca="false">IF($A278="Seçildi",IF('1-Ders Havuzu'!D93="","",'1-Ders Havuzu'!D93),"")</f>
        <v/>
      </c>
      <c r="D278" s="33" t="str">
        <f aca="false">IF($A278="Seçildi",IF('1-Ders Havuzu'!B93="","",'1-Ders Havuzu'!B93),"")</f>
        <v/>
      </c>
      <c r="E278" s="33" t="str">
        <f aca="false">IF($A278="Seçildi",IF('1-Ders Havuzu'!A93="","",'1-Ders Havuzu'!A93),"")</f>
        <v/>
      </c>
      <c r="F278" s="33" t="str">
        <f aca="false">IF($A278="Seçildi",IF('1-Ders Havuzu'!H93="","",'1-Ders Havuzu'!H93),"")</f>
        <v/>
      </c>
      <c r="G278" s="33" t="str">
        <f aca="false">IF($A278="Seçildi",IF('2-Ders-Öğr.Elemanı Eşleştirme'!H93="","",'2-Ders-Öğr.Elemanı Eşleştirme'!H93),"")</f>
        <v/>
      </c>
      <c r="H278" s="35" t="n">
        <v>2</v>
      </c>
      <c r="I278" s="36"/>
      <c r="J278" s="36"/>
      <c r="K278" s="36"/>
      <c r="L278" s="36"/>
      <c r="M278" s="33" t="str">
        <f aca="false">IF($J278="","",MATCH($J278,{"08.00";"09.00";"10.00";"11.00";"12.00";"13.00";"14.00";"15.00";"16.00";"17.00"},0))</f>
        <v/>
      </c>
      <c r="N278" s="33" t="str">
        <f aca="false">IF(OR($M278="",$K278=""),"",$M278+$K278-1)</f>
        <v/>
      </c>
      <c r="O278" s="33" t="str">
        <f aca="false">IF($A278&lt;&gt;"Seçildi","",IF(OR($M278="",$N278=""),"",IF($N278&gt;10,"⚠ Saat Taşıyor","")))</f>
        <v/>
      </c>
      <c r="P278" s="33" t="str">
        <f aca="false">IF($A278&lt;&gt;"Seçildi","",IF(OR($G278="",$I278="",$M278=""),"",IF(SUMPRODUCT(($A$7:$A$456="Seçildi")*($G$7:$G$456=$G278)*($I$7:$I$456=$I278)*(ROW($A$7:$A$456)&lt;&gt;278)*($M$7:$M$456&lt;=$N278)*($N$7:$N$456&gt;=$M278))&gt;0,"⚠ Çakışma","OK")))</f>
        <v/>
      </c>
      <c r="Q278" s="33" t="str">
        <f aca="false">IF($A278&lt;&gt;"Seçildi","",IF(OR($L278="",$I278="",$M278=""),"",IF(SUMPRODUCT(($A$7:$A$456="Seçildi")*($L$7:$L$456=$L278)*($I$7:$I$456=$I278)*(ROW($A$7:$A$456)&lt;&gt;278)*($M$7:$M$456&lt;=$N278)*($N$7:$N$456&gt;=$M278))&gt;0,"⚠ Çakışma","OK")))</f>
        <v/>
      </c>
      <c r="R278" s="33" t="str">
        <f aca="false">IF($A278&lt;&gt;"Seçildi","",IF(OR($D278="",$I278="",$M278=""),"",IF(SUMPRODUCT(($A$7:$A$456="Seçildi")*($D$7:$D$456=$D278)*($I$7:$I$456=$I278)*(ROW($A$7:$A$456)&lt;&gt;278)*($M$7:$M$456&lt;=$N278)*($N$7:$N$456&gt;=$M278))&gt;0,"⚠ Çakışma","OK")))</f>
        <v/>
      </c>
      <c r="S278" s="33"/>
      <c r="T278" s="33" t="str">
        <f aca="false">IF(OR($A278&lt;&gt;"Seçildi",AND($I278="",$J278="")),"",IF(OR($O278&lt;&gt;"",$P278="⚠ Çakışma",$Q278="⚠ Çakışma",$R278="⚠ Çakışma"),"⚠ Kontrol Et","✓ Uygun"))</f>
        <v/>
      </c>
    </row>
    <row r="279" customFormat="false" ht="13.5" hidden="false" customHeight="true" outlineLevel="0" collapsed="false">
      <c r="A279" s="33" t="str">
        <f aca="false">'1-Ders Havuzu'!K93</f>
        <v>Seçilmedi</v>
      </c>
      <c r="B279" s="33" t="str">
        <f aca="false">IF($A279="Seçildi",IF('1-Ders Havuzu'!C93="","",'1-Ders Havuzu'!C93),"")</f>
        <v/>
      </c>
      <c r="C279" s="34" t="str">
        <f aca="false">IF($A279="Seçildi",IF('1-Ders Havuzu'!D93="","",'1-Ders Havuzu'!D93),"")</f>
        <v/>
      </c>
      <c r="D279" s="33" t="str">
        <f aca="false">IF($A279="Seçildi",IF('1-Ders Havuzu'!B93="","",'1-Ders Havuzu'!B93),"")</f>
        <v/>
      </c>
      <c r="E279" s="33" t="str">
        <f aca="false">IF($A279="Seçildi",IF('1-Ders Havuzu'!A93="","",'1-Ders Havuzu'!A93),"")</f>
        <v/>
      </c>
      <c r="F279" s="33" t="str">
        <f aca="false">IF($A279="Seçildi",IF('1-Ders Havuzu'!H93="","",'1-Ders Havuzu'!H93),"")</f>
        <v/>
      </c>
      <c r="G279" s="33" t="str">
        <f aca="false">IF($A279="Seçildi",IF('2-Ders-Öğr.Elemanı Eşleştirme'!H93="","",'2-Ders-Öğr.Elemanı Eşleştirme'!H93),"")</f>
        <v/>
      </c>
      <c r="H279" s="35" t="n">
        <v>3</v>
      </c>
      <c r="I279" s="36"/>
      <c r="J279" s="36"/>
      <c r="K279" s="36"/>
      <c r="L279" s="36"/>
      <c r="M279" s="33" t="str">
        <f aca="false">IF($J279="","",MATCH($J279,{"08.00";"09.00";"10.00";"11.00";"12.00";"13.00";"14.00";"15.00";"16.00";"17.00"},0))</f>
        <v/>
      </c>
      <c r="N279" s="33" t="str">
        <f aca="false">IF(OR($M279="",$K279=""),"",$M279+$K279-1)</f>
        <v/>
      </c>
      <c r="O279" s="33" t="str">
        <f aca="false">IF($A279&lt;&gt;"Seçildi","",IF(OR($M279="",$N279=""),"",IF($N279&gt;10,"⚠ Saat Taşıyor","")))</f>
        <v/>
      </c>
      <c r="P279" s="33" t="str">
        <f aca="false">IF($A279&lt;&gt;"Seçildi","",IF(OR($G279="",$I279="",$M279=""),"",IF(SUMPRODUCT(($A$7:$A$456="Seçildi")*($G$7:$G$456=$G279)*($I$7:$I$456=$I279)*(ROW($A$7:$A$456)&lt;&gt;279)*($M$7:$M$456&lt;=$N279)*($N$7:$N$456&gt;=$M279))&gt;0,"⚠ Çakışma","OK")))</f>
        <v/>
      </c>
      <c r="Q279" s="33" t="str">
        <f aca="false">IF($A279&lt;&gt;"Seçildi","",IF(OR($L279="",$I279="",$M279=""),"",IF(SUMPRODUCT(($A$7:$A$456="Seçildi")*($L$7:$L$456=$L279)*($I$7:$I$456=$I279)*(ROW($A$7:$A$456)&lt;&gt;279)*($M$7:$M$456&lt;=$N279)*($N$7:$N$456&gt;=$M279))&gt;0,"⚠ Çakışma","OK")))</f>
        <v/>
      </c>
      <c r="R279" s="33" t="str">
        <f aca="false">IF($A279&lt;&gt;"Seçildi","",IF(OR($D279="",$I279="",$M279=""),"",IF(SUMPRODUCT(($A$7:$A$456="Seçildi")*($D$7:$D$456=$D279)*($I$7:$I$456=$I279)*(ROW($A$7:$A$456)&lt;&gt;279)*($M$7:$M$456&lt;=$N279)*($N$7:$N$456&gt;=$M279))&gt;0,"⚠ Çakışma","OK")))</f>
        <v/>
      </c>
      <c r="S279" s="33"/>
      <c r="T279" s="33" t="str">
        <f aca="false">IF(OR($A279&lt;&gt;"Seçildi",AND($I279="",$J279="")),"",IF(OR($O279&lt;&gt;"",$P279="⚠ Çakışma",$Q279="⚠ Çakışma",$R279="⚠ Çakışma"),"⚠ Kontrol Et","✓ Uygun"))</f>
        <v/>
      </c>
    </row>
    <row r="280" customFormat="false" ht="13.5" hidden="false" customHeight="true" outlineLevel="0" collapsed="false">
      <c r="A280" s="37" t="str">
        <f aca="false">'1-Ders Havuzu'!K94</f>
        <v>Seçilmedi</v>
      </c>
      <c r="B280" s="37" t="str">
        <f aca="false">IF($A280="Seçildi",IF('1-Ders Havuzu'!C94="","",'1-Ders Havuzu'!C94),"")</f>
        <v/>
      </c>
      <c r="C280" s="38" t="str">
        <f aca="false">IF($A280="Seçildi",IF('1-Ders Havuzu'!D94="","",'1-Ders Havuzu'!D94),"")</f>
        <v/>
      </c>
      <c r="D280" s="37" t="str">
        <f aca="false">IF($A280="Seçildi",IF('1-Ders Havuzu'!B94="","",'1-Ders Havuzu'!B94),"")</f>
        <v/>
      </c>
      <c r="E280" s="37" t="str">
        <f aca="false">IF($A280="Seçildi",IF('1-Ders Havuzu'!A94="","",'1-Ders Havuzu'!A94),"")</f>
        <v/>
      </c>
      <c r="F280" s="37" t="str">
        <f aca="false">IF($A280="Seçildi",IF('1-Ders Havuzu'!H94="","",'1-Ders Havuzu'!H94),"")</f>
        <v/>
      </c>
      <c r="G280" s="37" t="str">
        <f aca="false">IF($A280="Seçildi",IF('2-Ders-Öğr.Elemanı Eşleştirme'!H94="","",'2-Ders-Öğr.Elemanı Eşleştirme'!H94),"")</f>
        <v/>
      </c>
      <c r="H280" s="39" t="n">
        <v>1</v>
      </c>
      <c r="I280" s="36"/>
      <c r="J280" s="36"/>
      <c r="K280" s="36"/>
      <c r="L280" s="36"/>
      <c r="M280" s="37" t="str">
        <f aca="false">IF($J280="","",MATCH($J280,{"08.00";"09.00";"10.00";"11.00";"12.00";"13.00";"14.00";"15.00";"16.00";"17.00"},0))</f>
        <v/>
      </c>
      <c r="N280" s="37" t="str">
        <f aca="false">IF(OR($M280="",$K280=""),"",$M280+$K280-1)</f>
        <v/>
      </c>
      <c r="O280" s="37" t="str">
        <f aca="false">IF($A280&lt;&gt;"Seçildi","",IF(OR($M280="",$N280=""),"",IF($N280&gt;10,"⚠ Saat Taşıyor","")))</f>
        <v/>
      </c>
      <c r="P280" s="37" t="str">
        <f aca="false">IF($A280&lt;&gt;"Seçildi","",IF(OR($G280="",$I280="",$M280=""),"",IF(SUMPRODUCT(($A$7:$A$456="Seçildi")*($G$7:$G$456=$G280)*($I$7:$I$456=$I280)*(ROW($A$7:$A$456)&lt;&gt;280)*($M$7:$M$456&lt;=$N280)*($N$7:$N$456&gt;=$M280))&gt;0,"⚠ Çakışma","OK")))</f>
        <v/>
      </c>
      <c r="Q280" s="37" t="str">
        <f aca="false">IF($A280&lt;&gt;"Seçildi","",IF(OR($L280="",$I280="",$M280=""),"",IF(SUMPRODUCT(($A$7:$A$456="Seçildi")*($L$7:$L$456=$L280)*($I$7:$I$456=$I280)*(ROW($A$7:$A$456)&lt;&gt;280)*($M$7:$M$456&lt;=$N280)*($N$7:$N$456&gt;=$M280))&gt;0,"⚠ Çakışma","OK")))</f>
        <v/>
      </c>
      <c r="R280" s="37" t="str">
        <f aca="false">IF($A280&lt;&gt;"Seçildi","",IF(OR($D280="",$I280="",$M280=""),"",IF(SUMPRODUCT(($A$7:$A$456="Seçildi")*($D$7:$D$456=$D280)*($I$7:$I$456=$I280)*(ROW($A$7:$A$456)&lt;&gt;280)*($M$7:$M$456&lt;=$N280)*($N$7:$N$456&gt;=$M280))&gt;0,"⚠ Çakışma","OK")))</f>
        <v/>
      </c>
      <c r="S280" s="37" t="str">
        <f aca="false">IF($A280&lt;&gt;"Seçildi","",IF(SUM($K280,$K281,$K282)&lt;&gt;$F280,"⚠ Dağılım: "&amp;SUM($K280:$K282)&amp;"/"&amp;$F280&amp;" saat","✓ Tamam"))</f>
        <v/>
      </c>
      <c r="T280" s="37" t="str">
        <f aca="false">IF($A280&lt;&gt;"Seçildi","",IF(OR($O280&lt;&gt;"",$P280="⚠ Çakışma",$Q280="⚠ Çakışma",$R280="⚠ Çakışma",LEFT($S280&amp;" ",1)="⚠"),"⚠ Kontrol Et","✓ Uygun"))</f>
        <v/>
      </c>
    </row>
    <row r="281" customFormat="false" ht="13.5" hidden="false" customHeight="true" outlineLevel="0" collapsed="false">
      <c r="A281" s="37" t="str">
        <f aca="false">'1-Ders Havuzu'!K94</f>
        <v>Seçilmedi</v>
      </c>
      <c r="B281" s="37" t="str">
        <f aca="false">IF($A281="Seçildi",IF('1-Ders Havuzu'!C94="","",'1-Ders Havuzu'!C94),"")</f>
        <v/>
      </c>
      <c r="C281" s="38" t="str">
        <f aca="false">IF($A281="Seçildi",IF('1-Ders Havuzu'!D94="","",'1-Ders Havuzu'!D94),"")</f>
        <v/>
      </c>
      <c r="D281" s="37" t="str">
        <f aca="false">IF($A281="Seçildi",IF('1-Ders Havuzu'!B94="","",'1-Ders Havuzu'!B94),"")</f>
        <v/>
      </c>
      <c r="E281" s="37" t="str">
        <f aca="false">IF($A281="Seçildi",IF('1-Ders Havuzu'!A94="","",'1-Ders Havuzu'!A94),"")</f>
        <v/>
      </c>
      <c r="F281" s="37" t="str">
        <f aca="false">IF($A281="Seçildi",IF('1-Ders Havuzu'!H94="","",'1-Ders Havuzu'!H94),"")</f>
        <v/>
      </c>
      <c r="G281" s="37" t="str">
        <f aca="false">IF($A281="Seçildi",IF('2-Ders-Öğr.Elemanı Eşleştirme'!H94="","",'2-Ders-Öğr.Elemanı Eşleştirme'!H94),"")</f>
        <v/>
      </c>
      <c r="H281" s="39" t="n">
        <v>2</v>
      </c>
      <c r="I281" s="36"/>
      <c r="J281" s="36"/>
      <c r="K281" s="36"/>
      <c r="L281" s="36"/>
      <c r="M281" s="37" t="str">
        <f aca="false">IF($J281="","",MATCH($J281,{"08.00";"09.00";"10.00";"11.00";"12.00";"13.00";"14.00";"15.00";"16.00";"17.00"},0))</f>
        <v/>
      </c>
      <c r="N281" s="37" t="str">
        <f aca="false">IF(OR($M281="",$K281=""),"",$M281+$K281-1)</f>
        <v/>
      </c>
      <c r="O281" s="37" t="str">
        <f aca="false">IF($A281&lt;&gt;"Seçildi","",IF(OR($M281="",$N281=""),"",IF($N281&gt;10,"⚠ Saat Taşıyor","")))</f>
        <v/>
      </c>
      <c r="P281" s="37" t="str">
        <f aca="false">IF($A281&lt;&gt;"Seçildi","",IF(OR($G281="",$I281="",$M281=""),"",IF(SUMPRODUCT(($A$7:$A$456="Seçildi")*($G$7:$G$456=$G281)*($I$7:$I$456=$I281)*(ROW($A$7:$A$456)&lt;&gt;281)*($M$7:$M$456&lt;=$N281)*($N$7:$N$456&gt;=$M281))&gt;0,"⚠ Çakışma","OK")))</f>
        <v/>
      </c>
      <c r="Q281" s="37" t="str">
        <f aca="false">IF($A281&lt;&gt;"Seçildi","",IF(OR($L281="",$I281="",$M281=""),"",IF(SUMPRODUCT(($A$7:$A$456="Seçildi")*($L$7:$L$456=$L281)*($I$7:$I$456=$I281)*(ROW($A$7:$A$456)&lt;&gt;281)*($M$7:$M$456&lt;=$N281)*($N$7:$N$456&gt;=$M281))&gt;0,"⚠ Çakışma","OK")))</f>
        <v/>
      </c>
      <c r="R281" s="37" t="str">
        <f aca="false">IF($A281&lt;&gt;"Seçildi","",IF(OR($D281="",$I281="",$M281=""),"",IF(SUMPRODUCT(($A$7:$A$456="Seçildi")*($D$7:$D$456=$D281)*($I$7:$I$456=$I281)*(ROW($A$7:$A$456)&lt;&gt;281)*($M$7:$M$456&lt;=$N281)*($N$7:$N$456&gt;=$M281))&gt;0,"⚠ Çakışma","OK")))</f>
        <v/>
      </c>
      <c r="S281" s="37"/>
      <c r="T281" s="37" t="str">
        <f aca="false">IF(OR($A281&lt;&gt;"Seçildi",AND($I281="",$J281="")),"",IF(OR($O281&lt;&gt;"",$P281="⚠ Çakışma",$Q281="⚠ Çakışma",$R281="⚠ Çakışma"),"⚠ Kontrol Et","✓ Uygun"))</f>
        <v/>
      </c>
    </row>
    <row r="282" customFormat="false" ht="13.5" hidden="false" customHeight="true" outlineLevel="0" collapsed="false">
      <c r="A282" s="37" t="str">
        <f aca="false">'1-Ders Havuzu'!K94</f>
        <v>Seçilmedi</v>
      </c>
      <c r="B282" s="37" t="str">
        <f aca="false">IF($A282="Seçildi",IF('1-Ders Havuzu'!C94="","",'1-Ders Havuzu'!C94),"")</f>
        <v/>
      </c>
      <c r="C282" s="38" t="str">
        <f aca="false">IF($A282="Seçildi",IF('1-Ders Havuzu'!D94="","",'1-Ders Havuzu'!D94),"")</f>
        <v/>
      </c>
      <c r="D282" s="37" t="str">
        <f aca="false">IF($A282="Seçildi",IF('1-Ders Havuzu'!B94="","",'1-Ders Havuzu'!B94),"")</f>
        <v/>
      </c>
      <c r="E282" s="37" t="str">
        <f aca="false">IF($A282="Seçildi",IF('1-Ders Havuzu'!A94="","",'1-Ders Havuzu'!A94),"")</f>
        <v/>
      </c>
      <c r="F282" s="37" t="str">
        <f aca="false">IF($A282="Seçildi",IF('1-Ders Havuzu'!H94="","",'1-Ders Havuzu'!H94),"")</f>
        <v/>
      </c>
      <c r="G282" s="37" t="str">
        <f aca="false">IF($A282="Seçildi",IF('2-Ders-Öğr.Elemanı Eşleştirme'!H94="","",'2-Ders-Öğr.Elemanı Eşleştirme'!H94),"")</f>
        <v/>
      </c>
      <c r="H282" s="39" t="n">
        <v>3</v>
      </c>
      <c r="I282" s="36"/>
      <c r="J282" s="36"/>
      <c r="K282" s="36"/>
      <c r="L282" s="36"/>
      <c r="M282" s="37" t="str">
        <f aca="false">IF($J282="","",MATCH($J282,{"08.00";"09.00";"10.00";"11.00";"12.00";"13.00";"14.00";"15.00";"16.00";"17.00"},0))</f>
        <v/>
      </c>
      <c r="N282" s="37" t="str">
        <f aca="false">IF(OR($M282="",$K282=""),"",$M282+$K282-1)</f>
        <v/>
      </c>
      <c r="O282" s="37" t="str">
        <f aca="false">IF($A282&lt;&gt;"Seçildi","",IF(OR($M282="",$N282=""),"",IF($N282&gt;10,"⚠ Saat Taşıyor","")))</f>
        <v/>
      </c>
      <c r="P282" s="37" t="str">
        <f aca="false">IF($A282&lt;&gt;"Seçildi","",IF(OR($G282="",$I282="",$M282=""),"",IF(SUMPRODUCT(($A$7:$A$456="Seçildi")*($G$7:$G$456=$G282)*($I$7:$I$456=$I282)*(ROW($A$7:$A$456)&lt;&gt;282)*($M$7:$M$456&lt;=$N282)*($N$7:$N$456&gt;=$M282))&gt;0,"⚠ Çakışma","OK")))</f>
        <v/>
      </c>
      <c r="Q282" s="37" t="str">
        <f aca="false">IF($A282&lt;&gt;"Seçildi","",IF(OR($L282="",$I282="",$M282=""),"",IF(SUMPRODUCT(($A$7:$A$456="Seçildi")*($L$7:$L$456=$L282)*($I$7:$I$456=$I282)*(ROW($A$7:$A$456)&lt;&gt;282)*($M$7:$M$456&lt;=$N282)*($N$7:$N$456&gt;=$M282))&gt;0,"⚠ Çakışma","OK")))</f>
        <v/>
      </c>
      <c r="R282" s="37" t="str">
        <f aca="false">IF($A282&lt;&gt;"Seçildi","",IF(OR($D282="",$I282="",$M282=""),"",IF(SUMPRODUCT(($A$7:$A$456="Seçildi")*($D$7:$D$456=$D282)*($I$7:$I$456=$I282)*(ROW($A$7:$A$456)&lt;&gt;282)*($M$7:$M$456&lt;=$N282)*($N$7:$N$456&gt;=$M282))&gt;0,"⚠ Çakışma","OK")))</f>
        <v/>
      </c>
      <c r="S282" s="37"/>
      <c r="T282" s="37" t="str">
        <f aca="false">IF(OR($A282&lt;&gt;"Seçildi",AND($I282="",$J282="")),"",IF(OR($O282&lt;&gt;"",$P282="⚠ Çakışma",$Q282="⚠ Çakışma",$R282="⚠ Çakışma"),"⚠ Kontrol Et","✓ Uygun"))</f>
        <v/>
      </c>
    </row>
    <row r="283" customFormat="false" ht="13.5" hidden="false" customHeight="true" outlineLevel="0" collapsed="false">
      <c r="A283" s="33" t="str">
        <f aca="false">'1-Ders Havuzu'!K95</f>
        <v>Seçilmedi</v>
      </c>
      <c r="B283" s="33" t="str">
        <f aca="false">IF($A283="Seçildi",IF('1-Ders Havuzu'!C95="","",'1-Ders Havuzu'!C95),"")</f>
        <v/>
      </c>
      <c r="C283" s="34" t="str">
        <f aca="false">IF($A283="Seçildi",IF('1-Ders Havuzu'!D95="","",'1-Ders Havuzu'!D95),"")</f>
        <v/>
      </c>
      <c r="D283" s="33" t="str">
        <f aca="false">IF($A283="Seçildi",IF('1-Ders Havuzu'!B95="","",'1-Ders Havuzu'!B95),"")</f>
        <v/>
      </c>
      <c r="E283" s="33" t="str">
        <f aca="false">IF($A283="Seçildi",IF('1-Ders Havuzu'!A95="","",'1-Ders Havuzu'!A95),"")</f>
        <v/>
      </c>
      <c r="F283" s="33" t="str">
        <f aca="false">IF($A283="Seçildi",IF('1-Ders Havuzu'!H95="","",'1-Ders Havuzu'!H95),"")</f>
        <v/>
      </c>
      <c r="G283" s="33" t="str">
        <f aca="false">IF($A283="Seçildi",IF('2-Ders-Öğr.Elemanı Eşleştirme'!H95="","",'2-Ders-Öğr.Elemanı Eşleştirme'!H95),"")</f>
        <v/>
      </c>
      <c r="H283" s="35" t="n">
        <v>1</v>
      </c>
      <c r="I283" s="36"/>
      <c r="J283" s="36"/>
      <c r="K283" s="36"/>
      <c r="L283" s="36"/>
      <c r="M283" s="33" t="str">
        <f aca="false">IF($J283="","",MATCH($J283,{"08.00";"09.00";"10.00";"11.00";"12.00";"13.00";"14.00";"15.00";"16.00";"17.00"},0))</f>
        <v/>
      </c>
      <c r="N283" s="33" t="str">
        <f aca="false">IF(OR($M283="",$K283=""),"",$M283+$K283-1)</f>
        <v/>
      </c>
      <c r="O283" s="33" t="str">
        <f aca="false">IF($A283&lt;&gt;"Seçildi","",IF(OR($M283="",$N283=""),"",IF($N283&gt;10,"⚠ Saat Taşıyor","")))</f>
        <v/>
      </c>
      <c r="P283" s="33" t="str">
        <f aca="false">IF($A283&lt;&gt;"Seçildi","",IF(OR($G283="",$I283="",$M283=""),"",IF(SUMPRODUCT(($A$7:$A$456="Seçildi")*($G$7:$G$456=$G283)*($I$7:$I$456=$I283)*(ROW($A$7:$A$456)&lt;&gt;283)*($M$7:$M$456&lt;=$N283)*($N$7:$N$456&gt;=$M283))&gt;0,"⚠ Çakışma","OK")))</f>
        <v/>
      </c>
      <c r="Q283" s="33" t="str">
        <f aca="false">IF($A283&lt;&gt;"Seçildi","",IF(OR($L283="",$I283="",$M283=""),"",IF(SUMPRODUCT(($A$7:$A$456="Seçildi")*($L$7:$L$456=$L283)*($I$7:$I$456=$I283)*(ROW($A$7:$A$456)&lt;&gt;283)*($M$7:$M$456&lt;=$N283)*($N$7:$N$456&gt;=$M283))&gt;0,"⚠ Çakışma","OK")))</f>
        <v/>
      </c>
      <c r="R283" s="33" t="str">
        <f aca="false">IF($A283&lt;&gt;"Seçildi","",IF(OR($D283="",$I283="",$M283=""),"",IF(SUMPRODUCT(($A$7:$A$456="Seçildi")*($D$7:$D$456=$D283)*($I$7:$I$456=$I283)*(ROW($A$7:$A$456)&lt;&gt;283)*($M$7:$M$456&lt;=$N283)*($N$7:$N$456&gt;=$M283))&gt;0,"⚠ Çakışma","OK")))</f>
        <v/>
      </c>
      <c r="S283" s="33" t="str">
        <f aca="false">IF($A283&lt;&gt;"Seçildi","",IF(SUM($K283,$K284,$K285)&lt;&gt;$F283,"⚠ Dağılım: "&amp;SUM($K283:$K285)&amp;"/"&amp;$F283&amp;" saat","✓ Tamam"))</f>
        <v/>
      </c>
      <c r="T283" s="33" t="str">
        <f aca="false">IF($A283&lt;&gt;"Seçildi","",IF(OR($O283&lt;&gt;"",$P283="⚠ Çakışma",$Q283="⚠ Çakışma",$R283="⚠ Çakışma",LEFT($S283&amp;" ",1)="⚠"),"⚠ Kontrol Et","✓ Uygun"))</f>
        <v/>
      </c>
    </row>
    <row r="284" customFormat="false" ht="13.5" hidden="false" customHeight="true" outlineLevel="0" collapsed="false">
      <c r="A284" s="33" t="str">
        <f aca="false">'1-Ders Havuzu'!K95</f>
        <v>Seçilmedi</v>
      </c>
      <c r="B284" s="33" t="str">
        <f aca="false">IF($A284="Seçildi",IF('1-Ders Havuzu'!C95="","",'1-Ders Havuzu'!C95),"")</f>
        <v/>
      </c>
      <c r="C284" s="34" t="str">
        <f aca="false">IF($A284="Seçildi",IF('1-Ders Havuzu'!D95="","",'1-Ders Havuzu'!D95),"")</f>
        <v/>
      </c>
      <c r="D284" s="33" t="str">
        <f aca="false">IF($A284="Seçildi",IF('1-Ders Havuzu'!B95="","",'1-Ders Havuzu'!B95),"")</f>
        <v/>
      </c>
      <c r="E284" s="33" t="str">
        <f aca="false">IF($A284="Seçildi",IF('1-Ders Havuzu'!A95="","",'1-Ders Havuzu'!A95),"")</f>
        <v/>
      </c>
      <c r="F284" s="33" t="str">
        <f aca="false">IF($A284="Seçildi",IF('1-Ders Havuzu'!H95="","",'1-Ders Havuzu'!H95),"")</f>
        <v/>
      </c>
      <c r="G284" s="33" t="str">
        <f aca="false">IF($A284="Seçildi",IF('2-Ders-Öğr.Elemanı Eşleştirme'!H95="","",'2-Ders-Öğr.Elemanı Eşleştirme'!H95),"")</f>
        <v/>
      </c>
      <c r="H284" s="35" t="n">
        <v>2</v>
      </c>
      <c r="I284" s="36"/>
      <c r="J284" s="36"/>
      <c r="K284" s="36"/>
      <c r="L284" s="36"/>
      <c r="M284" s="33" t="str">
        <f aca="false">IF($J284="","",MATCH($J284,{"08.00";"09.00";"10.00";"11.00";"12.00";"13.00";"14.00";"15.00";"16.00";"17.00"},0))</f>
        <v/>
      </c>
      <c r="N284" s="33" t="str">
        <f aca="false">IF(OR($M284="",$K284=""),"",$M284+$K284-1)</f>
        <v/>
      </c>
      <c r="O284" s="33" t="str">
        <f aca="false">IF($A284&lt;&gt;"Seçildi","",IF(OR($M284="",$N284=""),"",IF($N284&gt;10,"⚠ Saat Taşıyor","")))</f>
        <v/>
      </c>
      <c r="P284" s="33" t="str">
        <f aca="false">IF($A284&lt;&gt;"Seçildi","",IF(OR($G284="",$I284="",$M284=""),"",IF(SUMPRODUCT(($A$7:$A$456="Seçildi")*($G$7:$G$456=$G284)*($I$7:$I$456=$I284)*(ROW($A$7:$A$456)&lt;&gt;284)*($M$7:$M$456&lt;=$N284)*($N$7:$N$456&gt;=$M284))&gt;0,"⚠ Çakışma","OK")))</f>
        <v/>
      </c>
      <c r="Q284" s="33" t="str">
        <f aca="false">IF($A284&lt;&gt;"Seçildi","",IF(OR($L284="",$I284="",$M284=""),"",IF(SUMPRODUCT(($A$7:$A$456="Seçildi")*($L$7:$L$456=$L284)*($I$7:$I$456=$I284)*(ROW($A$7:$A$456)&lt;&gt;284)*($M$7:$M$456&lt;=$N284)*($N$7:$N$456&gt;=$M284))&gt;0,"⚠ Çakışma","OK")))</f>
        <v/>
      </c>
      <c r="R284" s="33" t="str">
        <f aca="false">IF($A284&lt;&gt;"Seçildi","",IF(OR($D284="",$I284="",$M284=""),"",IF(SUMPRODUCT(($A$7:$A$456="Seçildi")*($D$7:$D$456=$D284)*($I$7:$I$456=$I284)*(ROW($A$7:$A$456)&lt;&gt;284)*($M$7:$M$456&lt;=$N284)*($N$7:$N$456&gt;=$M284))&gt;0,"⚠ Çakışma","OK")))</f>
        <v/>
      </c>
      <c r="S284" s="33"/>
      <c r="T284" s="33" t="str">
        <f aca="false">IF(OR($A284&lt;&gt;"Seçildi",AND($I284="",$J284="")),"",IF(OR($O284&lt;&gt;"",$P284="⚠ Çakışma",$Q284="⚠ Çakışma",$R284="⚠ Çakışma"),"⚠ Kontrol Et","✓ Uygun"))</f>
        <v/>
      </c>
    </row>
    <row r="285" customFormat="false" ht="13.5" hidden="false" customHeight="true" outlineLevel="0" collapsed="false">
      <c r="A285" s="33" t="str">
        <f aca="false">'1-Ders Havuzu'!K95</f>
        <v>Seçilmedi</v>
      </c>
      <c r="B285" s="33" t="str">
        <f aca="false">IF($A285="Seçildi",IF('1-Ders Havuzu'!C95="","",'1-Ders Havuzu'!C95),"")</f>
        <v/>
      </c>
      <c r="C285" s="34" t="str">
        <f aca="false">IF($A285="Seçildi",IF('1-Ders Havuzu'!D95="","",'1-Ders Havuzu'!D95),"")</f>
        <v/>
      </c>
      <c r="D285" s="33" t="str">
        <f aca="false">IF($A285="Seçildi",IF('1-Ders Havuzu'!B95="","",'1-Ders Havuzu'!B95),"")</f>
        <v/>
      </c>
      <c r="E285" s="33" t="str">
        <f aca="false">IF($A285="Seçildi",IF('1-Ders Havuzu'!A95="","",'1-Ders Havuzu'!A95),"")</f>
        <v/>
      </c>
      <c r="F285" s="33" t="str">
        <f aca="false">IF($A285="Seçildi",IF('1-Ders Havuzu'!H95="","",'1-Ders Havuzu'!H95),"")</f>
        <v/>
      </c>
      <c r="G285" s="33" t="str">
        <f aca="false">IF($A285="Seçildi",IF('2-Ders-Öğr.Elemanı Eşleştirme'!H95="","",'2-Ders-Öğr.Elemanı Eşleştirme'!H95),"")</f>
        <v/>
      </c>
      <c r="H285" s="35" t="n">
        <v>3</v>
      </c>
      <c r="I285" s="36"/>
      <c r="J285" s="36"/>
      <c r="K285" s="36"/>
      <c r="L285" s="36"/>
      <c r="M285" s="33" t="str">
        <f aca="false">IF($J285="","",MATCH($J285,{"08.00";"09.00";"10.00";"11.00";"12.00";"13.00";"14.00";"15.00";"16.00";"17.00"},0))</f>
        <v/>
      </c>
      <c r="N285" s="33" t="str">
        <f aca="false">IF(OR($M285="",$K285=""),"",$M285+$K285-1)</f>
        <v/>
      </c>
      <c r="O285" s="33" t="str">
        <f aca="false">IF($A285&lt;&gt;"Seçildi","",IF(OR($M285="",$N285=""),"",IF($N285&gt;10,"⚠ Saat Taşıyor","")))</f>
        <v/>
      </c>
      <c r="P285" s="33" t="str">
        <f aca="false">IF($A285&lt;&gt;"Seçildi","",IF(OR($G285="",$I285="",$M285=""),"",IF(SUMPRODUCT(($A$7:$A$456="Seçildi")*($G$7:$G$456=$G285)*($I$7:$I$456=$I285)*(ROW($A$7:$A$456)&lt;&gt;285)*($M$7:$M$456&lt;=$N285)*($N$7:$N$456&gt;=$M285))&gt;0,"⚠ Çakışma","OK")))</f>
        <v/>
      </c>
      <c r="Q285" s="33" t="str">
        <f aca="false">IF($A285&lt;&gt;"Seçildi","",IF(OR($L285="",$I285="",$M285=""),"",IF(SUMPRODUCT(($A$7:$A$456="Seçildi")*($L$7:$L$456=$L285)*($I$7:$I$456=$I285)*(ROW($A$7:$A$456)&lt;&gt;285)*($M$7:$M$456&lt;=$N285)*($N$7:$N$456&gt;=$M285))&gt;0,"⚠ Çakışma","OK")))</f>
        <v/>
      </c>
      <c r="R285" s="33" t="str">
        <f aca="false">IF($A285&lt;&gt;"Seçildi","",IF(OR($D285="",$I285="",$M285=""),"",IF(SUMPRODUCT(($A$7:$A$456="Seçildi")*($D$7:$D$456=$D285)*($I$7:$I$456=$I285)*(ROW($A$7:$A$456)&lt;&gt;285)*($M$7:$M$456&lt;=$N285)*($N$7:$N$456&gt;=$M285))&gt;0,"⚠ Çakışma","OK")))</f>
        <v/>
      </c>
      <c r="S285" s="33"/>
      <c r="T285" s="33" t="str">
        <f aca="false">IF(OR($A285&lt;&gt;"Seçildi",AND($I285="",$J285="")),"",IF(OR($O285&lt;&gt;"",$P285="⚠ Çakışma",$Q285="⚠ Çakışma",$R285="⚠ Çakışma"),"⚠ Kontrol Et","✓ Uygun"))</f>
        <v/>
      </c>
    </row>
    <row r="286" customFormat="false" ht="13.5" hidden="false" customHeight="true" outlineLevel="0" collapsed="false">
      <c r="A286" s="37" t="str">
        <f aca="false">'1-Ders Havuzu'!K96</f>
        <v>Seçilmedi</v>
      </c>
      <c r="B286" s="37" t="str">
        <f aca="false">IF($A286="Seçildi",IF('1-Ders Havuzu'!C96="","",'1-Ders Havuzu'!C96),"")</f>
        <v/>
      </c>
      <c r="C286" s="38" t="str">
        <f aca="false">IF($A286="Seçildi",IF('1-Ders Havuzu'!D96="","",'1-Ders Havuzu'!D96),"")</f>
        <v/>
      </c>
      <c r="D286" s="37" t="str">
        <f aca="false">IF($A286="Seçildi",IF('1-Ders Havuzu'!B96="","",'1-Ders Havuzu'!B96),"")</f>
        <v/>
      </c>
      <c r="E286" s="37" t="str">
        <f aca="false">IF($A286="Seçildi",IF('1-Ders Havuzu'!A96="","",'1-Ders Havuzu'!A96),"")</f>
        <v/>
      </c>
      <c r="F286" s="37" t="str">
        <f aca="false">IF($A286="Seçildi",IF('1-Ders Havuzu'!H96="","",'1-Ders Havuzu'!H96),"")</f>
        <v/>
      </c>
      <c r="G286" s="37" t="str">
        <f aca="false">IF($A286="Seçildi",IF('2-Ders-Öğr.Elemanı Eşleştirme'!H96="","",'2-Ders-Öğr.Elemanı Eşleştirme'!H96),"")</f>
        <v/>
      </c>
      <c r="H286" s="39" t="n">
        <v>1</v>
      </c>
      <c r="I286" s="36"/>
      <c r="J286" s="36"/>
      <c r="K286" s="36"/>
      <c r="L286" s="36"/>
      <c r="M286" s="37" t="str">
        <f aca="false">IF($J286="","",MATCH($J286,{"08.00";"09.00";"10.00";"11.00";"12.00";"13.00";"14.00";"15.00";"16.00";"17.00"},0))</f>
        <v/>
      </c>
      <c r="N286" s="37" t="str">
        <f aca="false">IF(OR($M286="",$K286=""),"",$M286+$K286-1)</f>
        <v/>
      </c>
      <c r="O286" s="37" t="str">
        <f aca="false">IF($A286&lt;&gt;"Seçildi","",IF(OR($M286="",$N286=""),"",IF($N286&gt;10,"⚠ Saat Taşıyor","")))</f>
        <v/>
      </c>
      <c r="P286" s="37" t="str">
        <f aca="false">IF($A286&lt;&gt;"Seçildi","",IF(OR($G286="",$I286="",$M286=""),"",IF(SUMPRODUCT(($A$7:$A$456="Seçildi")*($G$7:$G$456=$G286)*($I$7:$I$456=$I286)*(ROW($A$7:$A$456)&lt;&gt;286)*($M$7:$M$456&lt;=$N286)*($N$7:$N$456&gt;=$M286))&gt;0,"⚠ Çakışma","OK")))</f>
        <v/>
      </c>
      <c r="Q286" s="37" t="str">
        <f aca="false">IF($A286&lt;&gt;"Seçildi","",IF(OR($L286="",$I286="",$M286=""),"",IF(SUMPRODUCT(($A$7:$A$456="Seçildi")*($L$7:$L$456=$L286)*($I$7:$I$456=$I286)*(ROW($A$7:$A$456)&lt;&gt;286)*($M$7:$M$456&lt;=$N286)*($N$7:$N$456&gt;=$M286))&gt;0,"⚠ Çakışma","OK")))</f>
        <v/>
      </c>
      <c r="R286" s="37" t="str">
        <f aca="false">IF($A286&lt;&gt;"Seçildi","",IF(OR($D286="",$I286="",$M286=""),"",IF(SUMPRODUCT(($A$7:$A$456="Seçildi")*($D$7:$D$456=$D286)*($I$7:$I$456=$I286)*(ROW($A$7:$A$456)&lt;&gt;286)*($M$7:$M$456&lt;=$N286)*($N$7:$N$456&gt;=$M286))&gt;0,"⚠ Çakışma","OK")))</f>
        <v/>
      </c>
      <c r="S286" s="37" t="str">
        <f aca="false">IF($A286&lt;&gt;"Seçildi","",IF(SUM($K286,$K287,$K288)&lt;&gt;$F286,"⚠ Dağılım: "&amp;SUM($K286:$K288)&amp;"/"&amp;$F286&amp;" saat","✓ Tamam"))</f>
        <v/>
      </c>
      <c r="T286" s="37" t="str">
        <f aca="false">IF($A286&lt;&gt;"Seçildi","",IF(OR($O286&lt;&gt;"",$P286="⚠ Çakışma",$Q286="⚠ Çakışma",$R286="⚠ Çakışma",LEFT($S286&amp;" ",1)="⚠"),"⚠ Kontrol Et","✓ Uygun"))</f>
        <v/>
      </c>
    </row>
    <row r="287" customFormat="false" ht="13.5" hidden="false" customHeight="true" outlineLevel="0" collapsed="false">
      <c r="A287" s="37" t="str">
        <f aca="false">'1-Ders Havuzu'!K96</f>
        <v>Seçilmedi</v>
      </c>
      <c r="B287" s="37" t="str">
        <f aca="false">IF($A287="Seçildi",IF('1-Ders Havuzu'!C96="","",'1-Ders Havuzu'!C96),"")</f>
        <v/>
      </c>
      <c r="C287" s="38" t="str">
        <f aca="false">IF($A287="Seçildi",IF('1-Ders Havuzu'!D96="","",'1-Ders Havuzu'!D96),"")</f>
        <v/>
      </c>
      <c r="D287" s="37" t="str">
        <f aca="false">IF($A287="Seçildi",IF('1-Ders Havuzu'!B96="","",'1-Ders Havuzu'!B96),"")</f>
        <v/>
      </c>
      <c r="E287" s="37" t="str">
        <f aca="false">IF($A287="Seçildi",IF('1-Ders Havuzu'!A96="","",'1-Ders Havuzu'!A96),"")</f>
        <v/>
      </c>
      <c r="F287" s="37" t="str">
        <f aca="false">IF($A287="Seçildi",IF('1-Ders Havuzu'!H96="","",'1-Ders Havuzu'!H96),"")</f>
        <v/>
      </c>
      <c r="G287" s="37" t="str">
        <f aca="false">IF($A287="Seçildi",IF('2-Ders-Öğr.Elemanı Eşleştirme'!H96="","",'2-Ders-Öğr.Elemanı Eşleştirme'!H96),"")</f>
        <v/>
      </c>
      <c r="H287" s="39" t="n">
        <v>2</v>
      </c>
      <c r="I287" s="36"/>
      <c r="J287" s="36"/>
      <c r="K287" s="36"/>
      <c r="L287" s="36"/>
      <c r="M287" s="37" t="str">
        <f aca="false">IF($J287="","",MATCH($J287,{"08.00";"09.00";"10.00";"11.00";"12.00";"13.00";"14.00";"15.00";"16.00";"17.00"},0))</f>
        <v/>
      </c>
      <c r="N287" s="37" t="str">
        <f aca="false">IF(OR($M287="",$K287=""),"",$M287+$K287-1)</f>
        <v/>
      </c>
      <c r="O287" s="37" t="str">
        <f aca="false">IF($A287&lt;&gt;"Seçildi","",IF(OR($M287="",$N287=""),"",IF($N287&gt;10,"⚠ Saat Taşıyor","")))</f>
        <v/>
      </c>
      <c r="P287" s="37" t="str">
        <f aca="false">IF($A287&lt;&gt;"Seçildi","",IF(OR($G287="",$I287="",$M287=""),"",IF(SUMPRODUCT(($A$7:$A$456="Seçildi")*($G$7:$G$456=$G287)*($I$7:$I$456=$I287)*(ROW($A$7:$A$456)&lt;&gt;287)*($M$7:$M$456&lt;=$N287)*($N$7:$N$456&gt;=$M287))&gt;0,"⚠ Çakışma","OK")))</f>
        <v/>
      </c>
      <c r="Q287" s="37" t="str">
        <f aca="false">IF($A287&lt;&gt;"Seçildi","",IF(OR($L287="",$I287="",$M287=""),"",IF(SUMPRODUCT(($A$7:$A$456="Seçildi")*($L$7:$L$456=$L287)*($I$7:$I$456=$I287)*(ROW($A$7:$A$456)&lt;&gt;287)*($M$7:$M$456&lt;=$N287)*($N$7:$N$456&gt;=$M287))&gt;0,"⚠ Çakışma","OK")))</f>
        <v/>
      </c>
      <c r="R287" s="37" t="str">
        <f aca="false">IF($A287&lt;&gt;"Seçildi","",IF(OR($D287="",$I287="",$M287=""),"",IF(SUMPRODUCT(($A$7:$A$456="Seçildi")*($D$7:$D$456=$D287)*($I$7:$I$456=$I287)*(ROW($A$7:$A$456)&lt;&gt;287)*($M$7:$M$456&lt;=$N287)*($N$7:$N$456&gt;=$M287))&gt;0,"⚠ Çakışma","OK")))</f>
        <v/>
      </c>
      <c r="S287" s="37"/>
      <c r="T287" s="37" t="str">
        <f aca="false">IF(OR($A287&lt;&gt;"Seçildi",AND($I287="",$J287="")),"",IF(OR($O287&lt;&gt;"",$P287="⚠ Çakışma",$Q287="⚠ Çakışma",$R287="⚠ Çakışma"),"⚠ Kontrol Et","✓ Uygun"))</f>
        <v/>
      </c>
    </row>
    <row r="288" customFormat="false" ht="13.5" hidden="false" customHeight="true" outlineLevel="0" collapsed="false">
      <c r="A288" s="37" t="str">
        <f aca="false">'1-Ders Havuzu'!K96</f>
        <v>Seçilmedi</v>
      </c>
      <c r="B288" s="37" t="str">
        <f aca="false">IF($A288="Seçildi",IF('1-Ders Havuzu'!C96="","",'1-Ders Havuzu'!C96),"")</f>
        <v/>
      </c>
      <c r="C288" s="38" t="str">
        <f aca="false">IF($A288="Seçildi",IF('1-Ders Havuzu'!D96="","",'1-Ders Havuzu'!D96),"")</f>
        <v/>
      </c>
      <c r="D288" s="37" t="str">
        <f aca="false">IF($A288="Seçildi",IF('1-Ders Havuzu'!B96="","",'1-Ders Havuzu'!B96),"")</f>
        <v/>
      </c>
      <c r="E288" s="37" t="str">
        <f aca="false">IF($A288="Seçildi",IF('1-Ders Havuzu'!A96="","",'1-Ders Havuzu'!A96),"")</f>
        <v/>
      </c>
      <c r="F288" s="37" t="str">
        <f aca="false">IF($A288="Seçildi",IF('1-Ders Havuzu'!H96="","",'1-Ders Havuzu'!H96),"")</f>
        <v/>
      </c>
      <c r="G288" s="37" t="str">
        <f aca="false">IF($A288="Seçildi",IF('2-Ders-Öğr.Elemanı Eşleştirme'!H96="","",'2-Ders-Öğr.Elemanı Eşleştirme'!H96),"")</f>
        <v/>
      </c>
      <c r="H288" s="39" t="n">
        <v>3</v>
      </c>
      <c r="I288" s="36"/>
      <c r="J288" s="36"/>
      <c r="K288" s="36"/>
      <c r="L288" s="36"/>
      <c r="M288" s="37" t="str">
        <f aca="false">IF($J288="","",MATCH($J288,{"08.00";"09.00";"10.00";"11.00";"12.00";"13.00";"14.00";"15.00";"16.00";"17.00"},0))</f>
        <v/>
      </c>
      <c r="N288" s="37" t="str">
        <f aca="false">IF(OR($M288="",$K288=""),"",$M288+$K288-1)</f>
        <v/>
      </c>
      <c r="O288" s="37" t="str">
        <f aca="false">IF($A288&lt;&gt;"Seçildi","",IF(OR($M288="",$N288=""),"",IF($N288&gt;10,"⚠ Saat Taşıyor","")))</f>
        <v/>
      </c>
      <c r="P288" s="37" t="str">
        <f aca="false">IF($A288&lt;&gt;"Seçildi","",IF(OR($G288="",$I288="",$M288=""),"",IF(SUMPRODUCT(($A$7:$A$456="Seçildi")*($G$7:$G$456=$G288)*($I$7:$I$456=$I288)*(ROW($A$7:$A$456)&lt;&gt;288)*($M$7:$M$456&lt;=$N288)*($N$7:$N$456&gt;=$M288))&gt;0,"⚠ Çakışma","OK")))</f>
        <v/>
      </c>
      <c r="Q288" s="37" t="str">
        <f aca="false">IF($A288&lt;&gt;"Seçildi","",IF(OR($L288="",$I288="",$M288=""),"",IF(SUMPRODUCT(($A$7:$A$456="Seçildi")*($L$7:$L$456=$L288)*($I$7:$I$456=$I288)*(ROW($A$7:$A$456)&lt;&gt;288)*($M$7:$M$456&lt;=$N288)*($N$7:$N$456&gt;=$M288))&gt;0,"⚠ Çakışma","OK")))</f>
        <v/>
      </c>
      <c r="R288" s="37" t="str">
        <f aca="false">IF($A288&lt;&gt;"Seçildi","",IF(OR($D288="",$I288="",$M288=""),"",IF(SUMPRODUCT(($A$7:$A$456="Seçildi")*($D$7:$D$456=$D288)*($I$7:$I$456=$I288)*(ROW($A$7:$A$456)&lt;&gt;288)*($M$7:$M$456&lt;=$N288)*($N$7:$N$456&gt;=$M288))&gt;0,"⚠ Çakışma","OK")))</f>
        <v/>
      </c>
      <c r="S288" s="37"/>
      <c r="T288" s="37" t="str">
        <f aca="false">IF(OR($A288&lt;&gt;"Seçildi",AND($I288="",$J288="")),"",IF(OR($O288&lt;&gt;"",$P288="⚠ Çakışma",$Q288="⚠ Çakışma",$R288="⚠ Çakışma"),"⚠ Kontrol Et","✓ Uygun"))</f>
        <v/>
      </c>
    </row>
    <row r="289" customFormat="false" ht="13.5" hidden="false" customHeight="true" outlineLevel="0" collapsed="false">
      <c r="A289" s="33" t="str">
        <f aca="false">'1-Ders Havuzu'!K97</f>
        <v>Seçilmedi</v>
      </c>
      <c r="B289" s="33" t="str">
        <f aca="false">IF($A289="Seçildi",IF('1-Ders Havuzu'!C97="","",'1-Ders Havuzu'!C97),"")</f>
        <v/>
      </c>
      <c r="C289" s="34" t="str">
        <f aca="false">IF($A289="Seçildi",IF('1-Ders Havuzu'!D97="","",'1-Ders Havuzu'!D97),"")</f>
        <v/>
      </c>
      <c r="D289" s="33" t="str">
        <f aca="false">IF($A289="Seçildi",IF('1-Ders Havuzu'!B97="","",'1-Ders Havuzu'!B97),"")</f>
        <v/>
      </c>
      <c r="E289" s="33" t="str">
        <f aca="false">IF($A289="Seçildi",IF('1-Ders Havuzu'!A97="","",'1-Ders Havuzu'!A97),"")</f>
        <v/>
      </c>
      <c r="F289" s="33" t="str">
        <f aca="false">IF($A289="Seçildi",IF('1-Ders Havuzu'!H97="","",'1-Ders Havuzu'!H97),"")</f>
        <v/>
      </c>
      <c r="G289" s="33" t="str">
        <f aca="false">IF($A289="Seçildi",IF('2-Ders-Öğr.Elemanı Eşleştirme'!H97="","",'2-Ders-Öğr.Elemanı Eşleştirme'!H97),"")</f>
        <v/>
      </c>
      <c r="H289" s="35" t="n">
        <v>1</v>
      </c>
      <c r="I289" s="36"/>
      <c r="J289" s="36"/>
      <c r="K289" s="36"/>
      <c r="L289" s="36"/>
      <c r="M289" s="33" t="str">
        <f aca="false">IF($J289="","",MATCH($J289,{"08.00";"09.00";"10.00";"11.00";"12.00";"13.00";"14.00";"15.00";"16.00";"17.00"},0))</f>
        <v/>
      </c>
      <c r="N289" s="33" t="str">
        <f aca="false">IF(OR($M289="",$K289=""),"",$M289+$K289-1)</f>
        <v/>
      </c>
      <c r="O289" s="33" t="str">
        <f aca="false">IF($A289&lt;&gt;"Seçildi","",IF(OR($M289="",$N289=""),"",IF($N289&gt;10,"⚠ Saat Taşıyor","")))</f>
        <v/>
      </c>
      <c r="P289" s="33" t="str">
        <f aca="false">IF($A289&lt;&gt;"Seçildi","",IF(OR($G289="",$I289="",$M289=""),"",IF(SUMPRODUCT(($A$7:$A$456="Seçildi")*($G$7:$G$456=$G289)*($I$7:$I$456=$I289)*(ROW($A$7:$A$456)&lt;&gt;289)*($M$7:$M$456&lt;=$N289)*($N$7:$N$456&gt;=$M289))&gt;0,"⚠ Çakışma","OK")))</f>
        <v/>
      </c>
      <c r="Q289" s="33" t="str">
        <f aca="false">IF($A289&lt;&gt;"Seçildi","",IF(OR($L289="",$I289="",$M289=""),"",IF(SUMPRODUCT(($A$7:$A$456="Seçildi")*($L$7:$L$456=$L289)*($I$7:$I$456=$I289)*(ROW($A$7:$A$456)&lt;&gt;289)*($M$7:$M$456&lt;=$N289)*($N$7:$N$456&gt;=$M289))&gt;0,"⚠ Çakışma","OK")))</f>
        <v/>
      </c>
      <c r="R289" s="33" t="str">
        <f aca="false">IF($A289&lt;&gt;"Seçildi","",IF(OR($D289="",$I289="",$M289=""),"",IF(SUMPRODUCT(($A$7:$A$456="Seçildi")*($D$7:$D$456=$D289)*($I$7:$I$456=$I289)*(ROW($A$7:$A$456)&lt;&gt;289)*($M$7:$M$456&lt;=$N289)*($N$7:$N$456&gt;=$M289))&gt;0,"⚠ Çakışma","OK")))</f>
        <v/>
      </c>
      <c r="S289" s="33" t="str">
        <f aca="false">IF($A289&lt;&gt;"Seçildi","",IF(SUM($K289,$K290,$K291)&lt;&gt;$F289,"⚠ Dağılım: "&amp;SUM($K289:$K291)&amp;"/"&amp;$F289&amp;" saat","✓ Tamam"))</f>
        <v/>
      </c>
      <c r="T289" s="33" t="str">
        <f aca="false">IF($A289&lt;&gt;"Seçildi","",IF(OR($O289&lt;&gt;"",$P289="⚠ Çakışma",$Q289="⚠ Çakışma",$R289="⚠ Çakışma",LEFT($S289&amp;" ",1)="⚠"),"⚠ Kontrol Et","✓ Uygun"))</f>
        <v/>
      </c>
    </row>
    <row r="290" customFormat="false" ht="13.5" hidden="false" customHeight="true" outlineLevel="0" collapsed="false">
      <c r="A290" s="33" t="str">
        <f aca="false">'1-Ders Havuzu'!K97</f>
        <v>Seçilmedi</v>
      </c>
      <c r="B290" s="33" t="str">
        <f aca="false">IF($A290="Seçildi",IF('1-Ders Havuzu'!C97="","",'1-Ders Havuzu'!C97),"")</f>
        <v/>
      </c>
      <c r="C290" s="34" t="str">
        <f aca="false">IF($A290="Seçildi",IF('1-Ders Havuzu'!D97="","",'1-Ders Havuzu'!D97),"")</f>
        <v/>
      </c>
      <c r="D290" s="33" t="str">
        <f aca="false">IF($A290="Seçildi",IF('1-Ders Havuzu'!B97="","",'1-Ders Havuzu'!B97),"")</f>
        <v/>
      </c>
      <c r="E290" s="33" t="str">
        <f aca="false">IF($A290="Seçildi",IF('1-Ders Havuzu'!A97="","",'1-Ders Havuzu'!A97),"")</f>
        <v/>
      </c>
      <c r="F290" s="33" t="str">
        <f aca="false">IF($A290="Seçildi",IF('1-Ders Havuzu'!H97="","",'1-Ders Havuzu'!H97),"")</f>
        <v/>
      </c>
      <c r="G290" s="33" t="str">
        <f aca="false">IF($A290="Seçildi",IF('2-Ders-Öğr.Elemanı Eşleştirme'!H97="","",'2-Ders-Öğr.Elemanı Eşleştirme'!H97),"")</f>
        <v/>
      </c>
      <c r="H290" s="35" t="n">
        <v>2</v>
      </c>
      <c r="I290" s="36"/>
      <c r="J290" s="36"/>
      <c r="K290" s="36"/>
      <c r="L290" s="36"/>
      <c r="M290" s="33" t="str">
        <f aca="false">IF($J290="","",MATCH($J290,{"08.00";"09.00";"10.00";"11.00";"12.00";"13.00";"14.00";"15.00";"16.00";"17.00"},0))</f>
        <v/>
      </c>
      <c r="N290" s="33" t="str">
        <f aca="false">IF(OR($M290="",$K290=""),"",$M290+$K290-1)</f>
        <v/>
      </c>
      <c r="O290" s="33" t="str">
        <f aca="false">IF($A290&lt;&gt;"Seçildi","",IF(OR($M290="",$N290=""),"",IF($N290&gt;10,"⚠ Saat Taşıyor","")))</f>
        <v/>
      </c>
      <c r="P290" s="33" t="str">
        <f aca="false">IF($A290&lt;&gt;"Seçildi","",IF(OR($G290="",$I290="",$M290=""),"",IF(SUMPRODUCT(($A$7:$A$456="Seçildi")*($G$7:$G$456=$G290)*($I$7:$I$456=$I290)*(ROW($A$7:$A$456)&lt;&gt;290)*($M$7:$M$456&lt;=$N290)*($N$7:$N$456&gt;=$M290))&gt;0,"⚠ Çakışma","OK")))</f>
        <v/>
      </c>
      <c r="Q290" s="33" t="str">
        <f aca="false">IF($A290&lt;&gt;"Seçildi","",IF(OR($L290="",$I290="",$M290=""),"",IF(SUMPRODUCT(($A$7:$A$456="Seçildi")*($L$7:$L$456=$L290)*($I$7:$I$456=$I290)*(ROW($A$7:$A$456)&lt;&gt;290)*($M$7:$M$456&lt;=$N290)*($N$7:$N$456&gt;=$M290))&gt;0,"⚠ Çakışma","OK")))</f>
        <v/>
      </c>
      <c r="R290" s="33" t="str">
        <f aca="false">IF($A290&lt;&gt;"Seçildi","",IF(OR($D290="",$I290="",$M290=""),"",IF(SUMPRODUCT(($A$7:$A$456="Seçildi")*($D$7:$D$456=$D290)*($I$7:$I$456=$I290)*(ROW($A$7:$A$456)&lt;&gt;290)*($M$7:$M$456&lt;=$N290)*($N$7:$N$456&gt;=$M290))&gt;0,"⚠ Çakışma","OK")))</f>
        <v/>
      </c>
      <c r="S290" s="33"/>
      <c r="T290" s="33" t="str">
        <f aca="false">IF(OR($A290&lt;&gt;"Seçildi",AND($I290="",$J290="")),"",IF(OR($O290&lt;&gt;"",$P290="⚠ Çakışma",$Q290="⚠ Çakışma",$R290="⚠ Çakışma"),"⚠ Kontrol Et","✓ Uygun"))</f>
        <v/>
      </c>
    </row>
    <row r="291" customFormat="false" ht="13.5" hidden="false" customHeight="true" outlineLevel="0" collapsed="false">
      <c r="A291" s="33" t="str">
        <f aca="false">'1-Ders Havuzu'!K97</f>
        <v>Seçilmedi</v>
      </c>
      <c r="B291" s="33" t="str">
        <f aca="false">IF($A291="Seçildi",IF('1-Ders Havuzu'!C97="","",'1-Ders Havuzu'!C97),"")</f>
        <v/>
      </c>
      <c r="C291" s="34" t="str">
        <f aca="false">IF($A291="Seçildi",IF('1-Ders Havuzu'!D97="","",'1-Ders Havuzu'!D97),"")</f>
        <v/>
      </c>
      <c r="D291" s="33" t="str">
        <f aca="false">IF($A291="Seçildi",IF('1-Ders Havuzu'!B97="","",'1-Ders Havuzu'!B97),"")</f>
        <v/>
      </c>
      <c r="E291" s="33" t="str">
        <f aca="false">IF($A291="Seçildi",IF('1-Ders Havuzu'!A97="","",'1-Ders Havuzu'!A97),"")</f>
        <v/>
      </c>
      <c r="F291" s="33" t="str">
        <f aca="false">IF($A291="Seçildi",IF('1-Ders Havuzu'!H97="","",'1-Ders Havuzu'!H97),"")</f>
        <v/>
      </c>
      <c r="G291" s="33" t="str">
        <f aca="false">IF($A291="Seçildi",IF('2-Ders-Öğr.Elemanı Eşleştirme'!H97="","",'2-Ders-Öğr.Elemanı Eşleştirme'!H97),"")</f>
        <v/>
      </c>
      <c r="H291" s="35" t="n">
        <v>3</v>
      </c>
      <c r="I291" s="36"/>
      <c r="J291" s="36"/>
      <c r="K291" s="36"/>
      <c r="L291" s="36"/>
      <c r="M291" s="33" t="str">
        <f aca="false">IF($J291="","",MATCH($J291,{"08.00";"09.00";"10.00";"11.00";"12.00";"13.00";"14.00";"15.00";"16.00";"17.00"},0))</f>
        <v/>
      </c>
      <c r="N291" s="33" t="str">
        <f aca="false">IF(OR($M291="",$K291=""),"",$M291+$K291-1)</f>
        <v/>
      </c>
      <c r="O291" s="33" t="str">
        <f aca="false">IF($A291&lt;&gt;"Seçildi","",IF(OR($M291="",$N291=""),"",IF($N291&gt;10,"⚠ Saat Taşıyor","")))</f>
        <v/>
      </c>
      <c r="P291" s="33" t="str">
        <f aca="false">IF($A291&lt;&gt;"Seçildi","",IF(OR($G291="",$I291="",$M291=""),"",IF(SUMPRODUCT(($A$7:$A$456="Seçildi")*($G$7:$G$456=$G291)*($I$7:$I$456=$I291)*(ROW($A$7:$A$456)&lt;&gt;291)*($M$7:$M$456&lt;=$N291)*($N$7:$N$456&gt;=$M291))&gt;0,"⚠ Çakışma","OK")))</f>
        <v/>
      </c>
      <c r="Q291" s="33" t="str">
        <f aca="false">IF($A291&lt;&gt;"Seçildi","",IF(OR($L291="",$I291="",$M291=""),"",IF(SUMPRODUCT(($A$7:$A$456="Seçildi")*($L$7:$L$456=$L291)*($I$7:$I$456=$I291)*(ROW($A$7:$A$456)&lt;&gt;291)*($M$7:$M$456&lt;=$N291)*($N$7:$N$456&gt;=$M291))&gt;0,"⚠ Çakışma","OK")))</f>
        <v/>
      </c>
      <c r="R291" s="33" t="str">
        <f aca="false">IF($A291&lt;&gt;"Seçildi","",IF(OR($D291="",$I291="",$M291=""),"",IF(SUMPRODUCT(($A$7:$A$456="Seçildi")*($D$7:$D$456=$D291)*($I$7:$I$456=$I291)*(ROW($A$7:$A$456)&lt;&gt;291)*($M$7:$M$456&lt;=$N291)*($N$7:$N$456&gt;=$M291))&gt;0,"⚠ Çakışma","OK")))</f>
        <v/>
      </c>
      <c r="S291" s="33"/>
      <c r="T291" s="33" t="str">
        <f aca="false">IF(OR($A291&lt;&gt;"Seçildi",AND($I291="",$J291="")),"",IF(OR($O291&lt;&gt;"",$P291="⚠ Çakışma",$Q291="⚠ Çakışma",$R291="⚠ Çakışma"),"⚠ Kontrol Et","✓ Uygun"))</f>
        <v/>
      </c>
    </row>
    <row r="292" customFormat="false" ht="13.5" hidden="false" customHeight="true" outlineLevel="0" collapsed="false">
      <c r="A292" s="37" t="str">
        <f aca="false">'1-Ders Havuzu'!K98</f>
        <v>Seçilmedi</v>
      </c>
      <c r="B292" s="37" t="str">
        <f aca="false">IF($A292="Seçildi",IF('1-Ders Havuzu'!C98="","",'1-Ders Havuzu'!C98),"")</f>
        <v/>
      </c>
      <c r="C292" s="38" t="str">
        <f aca="false">IF($A292="Seçildi",IF('1-Ders Havuzu'!D98="","",'1-Ders Havuzu'!D98),"")</f>
        <v/>
      </c>
      <c r="D292" s="37" t="str">
        <f aca="false">IF($A292="Seçildi",IF('1-Ders Havuzu'!B98="","",'1-Ders Havuzu'!B98),"")</f>
        <v/>
      </c>
      <c r="E292" s="37" t="str">
        <f aca="false">IF($A292="Seçildi",IF('1-Ders Havuzu'!A98="","",'1-Ders Havuzu'!A98),"")</f>
        <v/>
      </c>
      <c r="F292" s="37" t="str">
        <f aca="false">IF($A292="Seçildi",IF('1-Ders Havuzu'!H98="","",'1-Ders Havuzu'!H98),"")</f>
        <v/>
      </c>
      <c r="G292" s="37" t="str">
        <f aca="false">IF($A292="Seçildi",IF('2-Ders-Öğr.Elemanı Eşleştirme'!H98="","",'2-Ders-Öğr.Elemanı Eşleştirme'!H98),"")</f>
        <v/>
      </c>
      <c r="H292" s="39" t="n">
        <v>1</v>
      </c>
      <c r="I292" s="36"/>
      <c r="J292" s="36"/>
      <c r="K292" s="36"/>
      <c r="L292" s="36"/>
      <c r="M292" s="37" t="str">
        <f aca="false">IF($J292="","",MATCH($J292,{"08.00";"09.00";"10.00";"11.00";"12.00";"13.00";"14.00";"15.00";"16.00";"17.00"},0))</f>
        <v/>
      </c>
      <c r="N292" s="37" t="str">
        <f aca="false">IF(OR($M292="",$K292=""),"",$M292+$K292-1)</f>
        <v/>
      </c>
      <c r="O292" s="37" t="str">
        <f aca="false">IF($A292&lt;&gt;"Seçildi","",IF(OR($M292="",$N292=""),"",IF($N292&gt;10,"⚠ Saat Taşıyor","")))</f>
        <v/>
      </c>
      <c r="P292" s="37" t="str">
        <f aca="false">IF($A292&lt;&gt;"Seçildi","",IF(OR($G292="",$I292="",$M292=""),"",IF(SUMPRODUCT(($A$7:$A$456="Seçildi")*($G$7:$G$456=$G292)*($I$7:$I$456=$I292)*(ROW($A$7:$A$456)&lt;&gt;292)*($M$7:$M$456&lt;=$N292)*($N$7:$N$456&gt;=$M292))&gt;0,"⚠ Çakışma","OK")))</f>
        <v/>
      </c>
      <c r="Q292" s="37" t="str">
        <f aca="false">IF($A292&lt;&gt;"Seçildi","",IF(OR($L292="",$I292="",$M292=""),"",IF(SUMPRODUCT(($A$7:$A$456="Seçildi")*($L$7:$L$456=$L292)*($I$7:$I$456=$I292)*(ROW($A$7:$A$456)&lt;&gt;292)*($M$7:$M$456&lt;=$N292)*($N$7:$N$456&gt;=$M292))&gt;0,"⚠ Çakışma","OK")))</f>
        <v/>
      </c>
      <c r="R292" s="37" t="str">
        <f aca="false">IF($A292&lt;&gt;"Seçildi","",IF(OR($D292="",$I292="",$M292=""),"",IF(SUMPRODUCT(($A$7:$A$456="Seçildi")*($D$7:$D$456=$D292)*($I$7:$I$456=$I292)*(ROW($A$7:$A$456)&lt;&gt;292)*($M$7:$M$456&lt;=$N292)*($N$7:$N$456&gt;=$M292))&gt;0,"⚠ Çakışma","OK")))</f>
        <v/>
      </c>
      <c r="S292" s="37" t="str">
        <f aca="false">IF($A292&lt;&gt;"Seçildi","",IF(SUM($K292,$K293,$K294)&lt;&gt;$F292,"⚠ Dağılım: "&amp;SUM($K292:$K294)&amp;"/"&amp;$F292&amp;" saat","✓ Tamam"))</f>
        <v/>
      </c>
      <c r="T292" s="37" t="str">
        <f aca="false">IF($A292&lt;&gt;"Seçildi","",IF(OR($O292&lt;&gt;"",$P292="⚠ Çakışma",$Q292="⚠ Çakışma",$R292="⚠ Çakışma",LEFT($S292&amp;" ",1)="⚠"),"⚠ Kontrol Et","✓ Uygun"))</f>
        <v/>
      </c>
    </row>
    <row r="293" customFormat="false" ht="13.5" hidden="false" customHeight="true" outlineLevel="0" collapsed="false">
      <c r="A293" s="37" t="str">
        <f aca="false">'1-Ders Havuzu'!K98</f>
        <v>Seçilmedi</v>
      </c>
      <c r="B293" s="37" t="str">
        <f aca="false">IF($A293="Seçildi",IF('1-Ders Havuzu'!C98="","",'1-Ders Havuzu'!C98),"")</f>
        <v/>
      </c>
      <c r="C293" s="38" t="str">
        <f aca="false">IF($A293="Seçildi",IF('1-Ders Havuzu'!D98="","",'1-Ders Havuzu'!D98),"")</f>
        <v/>
      </c>
      <c r="D293" s="37" t="str">
        <f aca="false">IF($A293="Seçildi",IF('1-Ders Havuzu'!B98="","",'1-Ders Havuzu'!B98),"")</f>
        <v/>
      </c>
      <c r="E293" s="37" t="str">
        <f aca="false">IF($A293="Seçildi",IF('1-Ders Havuzu'!A98="","",'1-Ders Havuzu'!A98),"")</f>
        <v/>
      </c>
      <c r="F293" s="37" t="str">
        <f aca="false">IF($A293="Seçildi",IF('1-Ders Havuzu'!H98="","",'1-Ders Havuzu'!H98),"")</f>
        <v/>
      </c>
      <c r="G293" s="37" t="str">
        <f aca="false">IF($A293="Seçildi",IF('2-Ders-Öğr.Elemanı Eşleştirme'!H98="","",'2-Ders-Öğr.Elemanı Eşleştirme'!H98),"")</f>
        <v/>
      </c>
      <c r="H293" s="39" t="n">
        <v>2</v>
      </c>
      <c r="I293" s="36"/>
      <c r="J293" s="36"/>
      <c r="K293" s="36"/>
      <c r="L293" s="36"/>
      <c r="M293" s="37" t="str">
        <f aca="false">IF($J293="","",MATCH($J293,{"08.00";"09.00";"10.00";"11.00";"12.00";"13.00";"14.00";"15.00";"16.00";"17.00"},0))</f>
        <v/>
      </c>
      <c r="N293" s="37" t="str">
        <f aca="false">IF(OR($M293="",$K293=""),"",$M293+$K293-1)</f>
        <v/>
      </c>
      <c r="O293" s="37" t="str">
        <f aca="false">IF($A293&lt;&gt;"Seçildi","",IF(OR($M293="",$N293=""),"",IF($N293&gt;10,"⚠ Saat Taşıyor","")))</f>
        <v/>
      </c>
      <c r="P293" s="37" t="str">
        <f aca="false">IF($A293&lt;&gt;"Seçildi","",IF(OR($G293="",$I293="",$M293=""),"",IF(SUMPRODUCT(($A$7:$A$456="Seçildi")*($G$7:$G$456=$G293)*($I$7:$I$456=$I293)*(ROW($A$7:$A$456)&lt;&gt;293)*($M$7:$M$456&lt;=$N293)*($N$7:$N$456&gt;=$M293))&gt;0,"⚠ Çakışma","OK")))</f>
        <v/>
      </c>
      <c r="Q293" s="37" t="str">
        <f aca="false">IF($A293&lt;&gt;"Seçildi","",IF(OR($L293="",$I293="",$M293=""),"",IF(SUMPRODUCT(($A$7:$A$456="Seçildi")*($L$7:$L$456=$L293)*($I$7:$I$456=$I293)*(ROW($A$7:$A$456)&lt;&gt;293)*($M$7:$M$456&lt;=$N293)*($N$7:$N$456&gt;=$M293))&gt;0,"⚠ Çakışma","OK")))</f>
        <v/>
      </c>
      <c r="R293" s="37" t="str">
        <f aca="false">IF($A293&lt;&gt;"Seçildi","",IF(OR($D293="",$I293="",$M293=""),"",IF(SUMPRODUCT(($A$7:$A$456="Seçildi")*($D$7:$D$456=$D293)*($I$7:$I$456=$I293)*(ROW($A$7:$A$456)&lt;&gt;293)*($M$7:$M$456&lt;=$N293)*($N$7:$N$456&gt;=$M293))&gt;0,"⚠ Çakışma","OK")))</f>
        <v/>
      </c>
      <c r="S293" s="37"/>
      <c r="T293" s="37" t="str">
        <f aca="false">IF(OR($A293&lt;&gt;"Seçildi",AND($I293="",$J293="")),"",IF(OR($O293&lt;&gt;"",$P293="⚠ Çakışma",$Q293="⚠ Çakışma",$R293="⚠ Çakışma"),"⚠ Kontrol Et","✓ Uygun"))</f>
        <v/>
      </c>
    </row>
    <row r="294" customFormat="false" ht="13.5" hidden="false" customHeight="true" outlineLevel="0" collapsed="false">
      <c r="A294" s="37" t="str">
        <f aca="false">'1-Ders Havuzu'!K98</f>
        <v>Seçilmedi</v>
      </c>
      <c r="B294" s="37" t="str">
        <f aca="false">IF($A294="Seçildi",IF('1-Ders Havuzu'!C98="","",'1-Ders Havuzu'!C98),"")</f>
        <v/>
      </c>
      <c r="C294" s="38" t="str">
        <f aca="false">IF($A294="Seçildi",IF('1-Ders Havuzu'!D98="","",'1-Ders Havuzu'!D98),"")</f>
        <v/>
      </c>
      <c r="D294" s="37" t="str">
        <f aca="false">IF($A294="Seçildi",IF('1-Ders Havuzu'!B98="","",'1-Ders Havuzu'!B98),"")</f>
        <v/>
      </c>
      <c r="E294" s="37" t="str">
        <f aca="false">IF($A294="Seçildi",IF('1-Ders Havuzu'!A98="","",'1-Ders Havuzu'!A98),"")</f>
        <v/>
      </c>
      <c r="F294" s="37" t="str">
        <f aca="false">IF($A294="Seçildi",IF('1-Ders Havuzu'!H98="","",'1-Ders Havuzu'!H98),"")</f>
        <v/>
      </c>
      <c r="G294" s="37" t="str">
        <f aca="false">IF($A294="Seçildi",IF('2-Ders-Öğr.Elemanı Eşleştirme'!H98="","",'2-Ders-Öğr.Elemanı Eşleştirme'!H98),"")</f>
        <v/>
      </c>
      <c r="H294" s="39" t="n">
        <v>3</v>
      </c>
      <c r="I294" s="36"/>
      <c r="J294" s="36"/>
      <c r="K294" s="36"/>
      <c r="L294" s="36"/>
      <c r="M294" s="37" t="str">
        <f aca="false">IF($J294="","",MATCH($J294,{"08.00";"09.00";"10.00";"11.00";"12.00";"13.00";"14.00";"15.00";"16.00";"17.00"},0))</f>
        <v/>
      </c>
      <c r="N294" s="37" t="str">
        <f aca="false">IF(OR($M294="",$K294=""),"",$M294+$K294-1)</f>
        <v/>
      </c>
      <c r="O294" s="37" t="str">
        <f aca="false">IF($A294&lt;&gt;"Seçildi","",IF(OR($M294="",$N294=""),"",IF($N294&gt;10,"⚠ Saat Taşıyor","")))</f>
        <v/>
      </c>
      <c r="P294" s="37" t="str">
        <f aca="false">IF($A294&lt;&gt;"Seçildi","",IF(OR($G294="",$I294="",$M294=""),"",IF(SUMPRODUCT(($A$7:$A$456="Seçildi")*($G$7:$G$456=$G294)*($I$7:$I$456=$I294)*(ROW($A$7:$A$456)&lt;&gt;294)*($M$7:$M$456&lt;=$N294)*($N$7:$N$456&gt;=$M294))&gt;0,"⚠ Çakışma","OK")))</f>
        <v/>
      </c>
      <c r="Q294" s="37" t="str">
        <f aca="false">IF($A294&lt;&gt;"Seçildi","",IF(OR($L294="",$I294="",$M294=""),"",IF(SUMPRODUCT(($A$7:$A$456="Seçildi")*($L$7:$L$456=$L294)*($I$7:$I$456=$I294)*(ROW($A$7:$A$456)&lt;&gt;294)*($M$7:$M$456&lt;=$N294)*($N$7:$N$456&gt;=$M294))&gt;0,"⚠ Çakışma","OK")))</f>
        <v/>
      </c>
      <c r="R294" s="37" t="str">
        <f aca="false">IF($A294&lt;&gt;"Seçildi","",IF(OR($D294="",$I294="",$M294=""),"",IF(SUMPRODUCT(($A$7:$A$456="Seçildi")*($D$7:$D$456=$D294)*($I$7:$I$456=$I294)*(ROW($A$7:$A$456)&lt;&gt;294)*($M$7:$M$456&lt;=$N294)*($N$7:$N$456&gt;=$M294))&gt;0,"⚠ Çakışma","OK")))</f>
        <v/>
      </c>
      <c r="S294" s="37"/>
      <c r="T294" s="37" t="str">
        <f aca="false">IF(OR($A294&lt;&gt;"Seçildi",AND($I294="",$J294="")),"",IF(OR($O294&lt;&gt;"",$P294="⚠ Çakışma",$Q294="⚠ Çakışma",$R294="⚠ Çakışma"),"⚠ Kontrol Et","✓ Uygun"))</f>
        <v/>
      </c>
    </row>
    <row r="295" customFormat="false" ht="13.5" hidden="false" customHeight="true" outlineLevel="0" collapsed="false">
      <c r="A295" s="33" t="str">
        <f aca="false">'1-Ders Havuzu'!K99</f>
        <v>Seçilmedi</v>
      </c>
      <c r="B295" s="33" t="str">
        <f aca="false">IF($A295="Seçildi",IF('1-Ders Havuzu'!C99="","",'1-Ders Havuzu'!C99),"")</f>
        <v/>
      </c>
      <c r="C295" s="34" t="str">
        <f aca="false">IF($A295="Seçildi",IF('1-Ders Havuzu'!D99="","",'1-Ders Havuzu'!D99),"")</f>
        <v/>
      </c>
      <c r="D295" s="33" t="str">
        <f aca="false">IF($A295="Seçildi",IF('1-Ders Havuzu'!B99="","",'1-Ders Havuzu'!B99),"")</f>
        <v/>
      </c>
      <c r="E295" s="33" t="str">
        <f aca="false">IF($A295="Seçildi",IF('1-Ders Havuzu'!A99="","",'1-Ders Havuzu'!A99),"")</f>
        <v/>
      </c>
      <c r="F295" s="33" t="str">
        <f aca="false">IF($A295="Seçildi",IF('1-Ders Havuzu'!H99="","",'1-Ders Havuzu'!H99),"")</f>
        <v/>
      </c>
      <c r="G295" s="33" t="str">
        <f aca="false">IF($A295="Seçildi",IF('2-Ders-Öğr.Elemanı Eşleştirme'!H99="","",'2-Ders-Öğr.Elemanı Eşleştirme'!H99),"")</f>
        <v/>
      </c>
      <c r="H295" s="35" t="n">
        <v>1</v>
      </c>
      <c r="I295" s="36"/>
      <c r="J295" s="36"/>
      <c r="K295" s="36"/>
      <c r="L295" s="36"/>
      <c r="M295" s="33" t="str">
        <f aca="false">IF($J295="","",MATCH($J295,{"08.00";"09.00";"10.00";"11.00";"12.00";"13.00";"14.00";"15.00";"16.00";"17.00"},0))</f>
        <v/>
      </c>
      <c r="N295" s="33" t="str">
        <f aca="false">IF(OR($M295="",$K295=""),"",$M295+$K295-1)</f>
        <v/>
      </c>
      <c r="O295" s="33" t="str">
        <f aca="false">IF($A295&lt;&gt;"Seçildi","",IF(OR($M295="",$N295=""),"",IF($N295&gt;10,"⚠ Saat Taşıyor","")))</f>
        <v/>
      </c>
      <c r="P295" s="33" t="str">
        <f aca="false">IF($A295&lt;&gt;"Seçildi","",IF(OR($G295="",$I295="",$M295=""),"",IF(SUMPRODUCT(($A$7:$A$456="Seçildi")*($G$7:$G$456=$G295)*($I$7:$I$456=$I295)*(ROW($A$7:$A$456)&lt;&gt;295)*($M$7:$M$456&lt;=$N295)*($N$7:$N$456&gt;=$M295))&gt;0,"⚠ Çakışma","OK")))</f>
        <v/>
      </c>
      <c r="Q295" s="33" t="str">
        <f aca="false">IF($A295&lt;&gt;"Seçildi","",IF(OR($L295="",$I295="",$M295=""),"",IF(SUMPRODUCT(($A$7:$A$456="Seçildi")*($L$7:$L$456=$L295)*($I$7:$I$456=$I295)*(ROW($A$7:$A$456)&lt;&gt;295)*($M$7:$M$456&lt;=$N295)*($N$7:$N$456&gt;=$M295))&gt;0,"⚠ Çakışma","OK")))</f>
        <v/>
      </c>
      <c r="R295" s="33" t="str">
        <f aca="false">IF($A295&lt;&gt;"Seçildi","",IF(OR($D295="",$I295="",$M295=""),"",IF(SUMPRODUCT(($A$7:$A$456="Seçildi")*($D$7:$D$456=$D295)*($I$7:$I$456=$I295)*(ROW($A$7:$A$456)&lt;&gt;295)*($M$7:$M$456&lt;=$N295)*($N$7:$N$456&gt;=$M295))&gt;0,"⚠ Çakışma","OK")))</f>
        <v/>
      </c>
      <c r="S295" s="33" t="str">
        <f aca="false">IF($A295&lt;&gt;"Seçildi","",IF(SUM($K295,$K296,$K297)&lt;&gt;$F295,"⚠ Dağılım: "&amp;SUM($K295:$K297)&amp;"/"&amp;$F295&amp;" saat","✓ Tamam"))</f>
        <v/>
      </c>
      <c r="T295" s="33" t="str">
        <f aca="false">IF($A295&lt;&gt;"Seçildi","",IF(OR($O295&lt;&gt;"",$P295="⚠ Çakışma",$Q295="⚠ Çakışma",$R295="⚠ Çakışma",LEFT($S295&amp;" ",1)="⚠"),"⚠ Kontrol Et","✓ Uygun"))</f>
        <v/>
      </c>
    </row>
    <row r="296" customFormat="false" ht="13.5" hidden="false" customHeight="true" outlineLevel="0" collapsed="false">
      <c r="A296" s="33" t="str">
        <f aca="false">'1-Ders Havuzu'!K99</f>
        <v>Seçilmedi</v>
      </c>
      <c r="B296" s="33" t="str">
        <f aca="false">IF($A296="Seçildi",IF('1-Ders Havuzu'!C99="","",'1-Ders Havuzu'!C99),"")</f>
        <v/>
      </c>
      <c r="C296" s="34" t="str">
        <f aca="false">IF($A296="Seçildi",IF('1-Ders Havuzu'!D99="","",'1-Ders Havuzu'!D99),"")</f>
        <v/>
      </c>
      <c r="D296" s="33" t="str">
        <f aca="false">IF($A296="Seçildi",IF('1-Ders Havuzu'!B99="","",'1-Ders Havuzu'!B99),"")</f>
        <v/>
      </c>
      <c r="E296" s="33" t="str">
        <f aca="false">IF($A296="Seçildi",IF('1-Ders Havuzu'!A99="","",'1-Ders Havuzu'!A99),"")</f>
        <v/>
      </c>
      <c r="F296" s="33" t="str">
        <f aca="false">IF($A296="Seçildi",IF('1-Ders Havuzu'!H99="","",'1-Ders Havuzu'!H99),"")</f>
        <v/>
      </c>
      <c r="G296" s="33" t="str">
        <f aca="false">IF($A296="Seçildi",IF('2-Ders-Öğr.Elemanı Eşleştirme'!H99="","",'2-Ders-Öğr.Elemanı Eşleştirme'!H99),"")</f>
        <v/>
      </c>
      <c r="H296" s="35" t="n">
        <v>2</v>
      </c>
      <c r="I296" s="36"/>
      <c r="J296" s="36"/>
      <c r="K296" s="36"/>
      <c r="L296" s="36"/>
      <c r="M296" s="33" t="str">
        <f aca="false">IF($J296="","",MATCH($J296,{"08.00";"09.00";"10.00";"11.00";"12.00";"13.00";"14.00";"15.00";"16.00";"17.00"},0))</f>
        <v/>
      </c>
      <c r="N296" s="33" t="str">
        <f aca="false">IF(OR($M296="",$K296=""),"",$M296+$K296-1)</f>
        <v/>
      </c>
      <c r="O296" s="33" t="str">
        <f aca="false">IF($A296&lt;&gt;"Seçildi","",IF(OR($M296="",$N296=""),"",IF($N296&gt;10,"⚠ Saat Taşıyor","")))</f>
        <v/>
      </c>
      <c r="P296" s="33" t="str">
        <f aca="false">IF($A296&lt;&gt;"Seçildi","",IF(OR($G296="",$I296="",$M296=""),"",IF(SUMPRODUCT(($A$7:$A$456="Seçildi")*($G$7:$G$456=$G296)*($I$7:$I$456=$I296)*(ROW($A$7:$A$456)&lt;&gt;296)*($M$7:$M$456&lt;=$N296)*($N$7:$N$456&gt;=$M296))&gt;0,"⚠ Çakışma","OK")))</f>
        <v/>
      </c>
      <c r="Q296" s="33" t="str">
        <f aca="false">IF($A296&lt;&gt;"Seçildi","",IF(OR($L296="",$I296="",$M296=""),"",IF(SUMPRODUCT(($A$7:$A$456="Seçildi")*($L$7:$L$456=$L296)*($I$7:$I$456=$I296)*(ROW($A$7:$A$456)&lt;&gt;296)*($M$7:$M$456&lt;=$N296)*($N$7:$N$456&gt;=$M296))&gt;0,"⚠ Çakışma","OK")))</f>
        <v/>
      </c>
      <c r="R296" s="33" t="str">
        <f aca="false">IF($A296&lt;&gt;"Seçildi","",IF(OR($D296="",$I296="",$M296=""),"",IF(SUMPRODUCT(($A$7:$A$456="Seçildi")*($D$7:$D$456=$D296)*($I$7:$I$456=$I296)*(ROW($A$7:$A$456)&lt;&gt;296)*($M$7:$M$456&lt;=$N296)*($N$7:$N$456&gt;=$M296))&gt;0,"⚠ Çakışma","OK")))</f>
        <v/>
      </c>
      <c r="S296" s="33"/>
      <c r="T296" s="33" t="str">
        <f aca="false">IF(OR($A296&lt;&gt;"Seçildi",AND($I296="",$J296="")),"",IF(OR($O296&lt;&gt;"",$P296="⚠ Çakışma",$Q296="⚠ Çakışma",$R296="⚠ Çakışma"),"⚠ Kontrol Et","✓ Uygun"))</f>
        <v/>
      </c>
    </row>
    <row r="297" customFormat="false" ht="13.5" hidden="false" customHeight="true" outlineLevel="0" collapsed="false">
      <c r="A297" s="33" t="str">
        <f aca="false">'1-Ders Havuzu'!K99</f>
        <v>Seçilmedi</v>
      </c>
      <c r="B297" s="33" t="str">
        <f aca="false">IF($A297="Seçildi",IF('1-Ders Havuzu'!C99="","",'1-Ders Havuzu'!C99),"")</f>
        <v/>
      </c>
      <c r="C297" s="34" t="str">
        <f aca="false">IF($A297="Seçildi",IF('1-Ders Havuzu'!D99="","",'1-Ders Havuzu'!D99),"")</f>
        <v/>
      </c>
      <c r="D297" s="33" t="str">
        <f aca="false">IF($A297="Seçildi",IF('1-Ders Havuzu'!B99="","",'1-Ders Havuzu'!B99),"")</f>
        <v/>
      </c>
      <c r="E297" s="33" t="str">
        <f aca="false">IF($A297="Seçildi",IF('1-Ders Havuzu'!A99="","",'1-Ders Havuzu'!A99),"")</f>
        <v/>
      </c>
      <c r="F297" s="33" t="str">
        <f aca="false">IF($A297="Seçildi",IF('1-Ders Havuzu'!H99="","",'1-Ders Havuzu'!H99),"")</f>
        <v/>
      </c>
      <c r="G297" s="33" t="str">
        <f aca="false">IF($A297="Seçildi",IF('2-Ders-Öğr.Elemanı Eşleştirme'!H99="","",'2-Ders-Öğr.Elemanı Eşleştirme'!H99),"")</f>
        <v/>
      </c>
      <c r="H297" s="35" t="n">
        <v>3</v>
      </c>
      <c r="I297" s="36"/>
      <c r="J297" s="36"/>
      <c r="K297" s="36"/>
      <c r="L297" s="36"/>
      <c r="M297" s="33" t="str">
        <f aca="false">IF($J297="","",MATCH($J297,{"08.00";"09.00";"10.00";"11.00";"12.00";"13.00";"14.00";"15.00";"16.00";"17.00"},0))</f>
        <v/>
      </c>
      <c r="N297" s="33" t="str">
        <f aca="false">IF(OR($M297="",$K297=""),"",$M297+$K297-1)</f>
        <v/>
      </c>
      <c r="O297" s="33" t="str">
        <f aca="false">IF($A297&lt;&gt;"Seçildi","",IF(OR($M297="",$N297=""),"",IF($N297&gt;10,"⚠ Saat Taşıyor","")))</f>
        <v/>
      </c>
      <c r="P297" s="33" t="str">
        <f aca="false">IF($A297&lt;&gt;"Seçildi","",IF(OR($G297="",$I297="",$M297=""),"",IF(SUMPRODUCT(($A$7:$A$456="Seçildi")*($G$7:$G$456=$G297)*($I$7:$I$456=$I297)*(ROW($A$7:$A$456)&lt;&gt;297)*($M$7:$M$456&lt;=$N297)*($N$7:$N$456&gt;=$M297))&gt;0,"⚠ Çakışma","OK")))</f>
        <v/>
      </c>
      <c r="Q297" s="33" t="str">
        <f aca="false">IF($A297&lt;&gt;"Seçildi","",IF(OR($L297="",$I297="",$M297=""),"",IF(SUMPRODUCT(($A$7:$A$456="Seçildi")*($L$7:$L$456=$L297)*($I$7:$I$456=$I297)*(ROW($A$7:$A$456)&lt;&gt;297)*($M$7:$M$456&lt;=$N297)*($N$7:$N$456&gt;=$M297))&gt;0,"⚠ Çakışma","OK")))</f>
        <v/>
      </c>
      <c r="R297" s="33" t="str">
        <f aca="false">IF($A297&lt;&gt;"Seçildi","",IF(OR($D297="",$I297="",$M297=""),"",IF(SUMPRODUCT(($A$7:$A$456="Seçildi")*($D$7:$D$456=$D297)*($I$7:$I$456=$I297)*(ROW($A$7:$A$456)&lt;&gt;297)*($M$7:$M$456&lt;=$N297)*($N$7:$N$456&gt;=$M297))&gt;0,"⚠ Çakışma","OK")))</f>
        <v/>
      </c>
      <c r="S297" s="33"/>
      <c r="T297" s="33" t="str">
        <f aca="false">IF(OR($A297&lt;&gt;"Seçildi",AND($I297="",$J297="")),"",IF(OR($O297&lt;&gt;"",$P297="⚠ Çakışma",$Q297="⚠ Çakışma",$R297="⚠ Çakışma"),"⚠ Kontrol Et","✓ Uygun"))</f>
        <v/>
      </c>
    </row>
    <row r="298" customFormat="false" ht="13.5" hidden="false" customHeight="true" outlineLevel="0" collapsed="false">
      <c r="A298" s="37" t="str">
        <f aca="false">'1-Ders Havuzu'!K100</f>
        <v>Seçilmedi</v>
      </c>
      <c r="B298" s="37" t="str">
        <f aca="false">IF($A298="Seçildi",IF('1-Ders Havuzu'!C100="","",'1-Ders Havuzu'!C100),"")</f>
        <v/>
      </c>
      <c r="C298" s="38" t="str">
        <f aca="false">IF($A298="Seçildi",IF('1-Ders Havuzu'!D100="","",'1-Ders Havuzu'!D100),"")</f>
        <v/>
      </c>
      <c r="D298" s="37" t="str">
        <f aca="false">IF($A298="Seçildi",IF('1-Ders Havuzu'!B100="","",'1-Ders Havuzu'!B100),"")</f>
        <v/>
      </c>
      <c r="E298" s="37" t="str">
        <f aca="false">IF($A298="Seçildi",IF('1-Ders Havuzu'!A100="","",'1-Ders Havuzu'!A100),"")</f>
        <v/>
      </c>
      <c r="F298" s="37" t="str">
        <f aca="false">IF($A298="Seçildi",IF('1-Ders Havuzu'!H100="","",'1-Ders Havuzu'!H100),"")</f>
        <v/>
      </c>
      <c r="G298" s="37" t="str">
        <f aca="false">IF($A298="Seçildi",IF('2-Ders-Öğr.Elemanı Eşleştirme'!H100="","",'2-Ders-Öğr.Elemanı Eşleştirme'!H100),"")</f>
        <v/>
      </c>
      <c r="H298" s="39" t="n">
        <v>1</v>
      </c>
      <c r="I298" s="36"/>
      <c r="J298" s="36"/>
      <c r="K298" s="36"/>
      <c r="L298" s="36"/>
      <c r="M298" s="37" t="str">
        <f aca="false">IF($J298="","",MATCH($J298,{"08.00";"09.00";"10.00";"11.00";"12.00";"13.00";"14.00";"15.00";"16.00";"17.00"},0))</f>
        <v/>
      </c>
      <c r="N298" s="37" t="str">
        <f aca="false">IF(OR($M298="",$K298=""),"",$M298+$K298-1)</f>
        <v/>
      </c>
      <c r="O298" s="37" t="str">
        <f aca="false">IF($A298&lt;&gt;"Seçildi","",IF(OR($M298="",$N298=""),"",IF($N298&gt;10,"⚠ Saat Taşıyor","")))</f>
        <v/>
      </c>
      <c r="P298" s="37" t="str">
        <f aca="false">IF($A298&lt;&gt;"Seçildi","",IF(OR($G298="",$I298="",$M298=""),"",IF(SUMPRODUCT(($A$7:$A$456="Seçildi")*($G$7:$G$456=$G298)*($I$7:$I$456=$I298)*(ROW($A$7:$A$456)&lt;&gt;298)*($M$7:$M$456&lt;=$N298)*($N$7:$N$456&gt;=$M298))&gt;0,"⚠ Çakışma","OK")))</f>
        <v/>
      </c>
      <c r="Q298" s="37" t="str">
        <f aca="false">IF($A298&lt;&gt;"Seçildi","",IF(OR($L298="",$I298="",$M298=""),"",IF(SUMPRODUCT(($A$7:$A$456="Seçildi")*($L$7:$L$456=$L298)*($I$7:$I$456=$I298)*(ROW($A$7:$A$456)&lt;&gt;298)*($M$7:$M$456&lt;=$N298)*($N$7:$N$456&gt;=$M298))&gt;0,"⚠ Çakışma","OK")))</f>
        <v/>
      </c>
      <c r="R298" s="37" t="str">
        <f aca="false">IF($A298&lt;&gt;"Seçildi","",IF(OR($D298="",$I298="",$M298=""),"",IF(SUMPRODUCT(($A$7:$A$456="Seçildi")*($D$7:$D$456=$D298)*($I$7:$I$456=$I298)*(ROW($A$7:$A$456)&lt;&gt;298)*($M$7:$M$456&lt;=$N298)*($N$7:$N$456&gt;=$M298))&gt;0,"⚠ Çakışma","OK")))</f>
        <v/>
      </c>
      <c r="S298" s="37" t="str">
        <f aca="false">IF($A298&lt;&gt;"Seçildi","",IF(SUM($K298,$K299,$K300)&lt;&gt;$F298,"⚠ Dağılım: "&amp;SUM($K298:$K300)&amp;"/"&amp;$F298&amp;" saat","✓ Tamam"))</f>
        <v/>
      </c>
      <c r="T298" s="37" t="str">
        <f aca="false">IF($A298&lt;&gt;"Seçildi","",IF(OR($O298&lt;&gt;"",$P298="⚠ Çakışma",$Q298="⚠ Çakışma",$R298="⚠ Çakışma",LEFT($S298&amp;" ",1)="⚠"),"⚠ Kontrol Et","✓ Uygun"))</f>
        <v/>
      </c>
    </row>
    <row r="299" customFormat="false" ht="13.5" hidden="false" customHeight="true" outlineLevel="0" collapsed="false">
      <c r="A299" s="37" t="str">
        <f aca="false">'1-Ders Havuzu'!K100</f>
        <v>Seçilmedi</v>
      </c>
      <c r="B299" s="37" t="str">
        <f aca="false">IF($A299="Seçildi",IF('1-Ders Havuzu'!C100="","",'1-Ders Havuzu'!C100),"")</f>
        <v/>
      </c>
      <c r="C299" s="38" t="str">
        <f aca="false">IF($A299="Seçildi",IF('1-Ders Havuzu'!D100="","",'1-Ders Havuzu'!D100),"")</f>
        <v/>
      </c>
      <c r="D299" s="37" t="str">
        <f aca="false">IF($A299="Seçildi",IF('1-Ders Havuzu'!B100="","",'1-Ders Havuzu'!B100),"")</f>
        <v/>
      </c>
      <c r="E299" s="37" t="str">
        <f aca="false">IF($A299="Seçildi",IF('1-Ders Havuzu'!A100="","",'1-Ders Havuzu'!A100),"")</f>
        <v/>
      </c>
      <c r="F299" s="37" t="str">
        <f aca="false">IF($A299="Seçildi",IF('1-Ders Havuzu'!H100="","",'1-Ders Havuzu'!H100),"")</f>
        <v/>
      </c>
      <c r="G299" s="37" t="str">
        <f aca="false">IF($A299="Seçildi",IF('2-Ders-Öğr.Elemanı Eşleştirme'!H100="","",'2-Ders-Öğr.Elemanı Eşleştirme'!H100),"")</f>
        <v/>
      </c>
      <c r="H299" s="39" t="n">
        <v>2</v>
      </c>
      <c r="I299" s="36"/>
      <c r="J299" s="36"/>
      <c r="K299" s="36"/>
      <c r="L299" s="36"/>
      <c r="M299" s="37" t="str">
        <f aca="false">IF($J299="","",MATCH($J299,{"08.00";"09.00";"10.00";"11.00";"12.00";"13.00";"14.00";"15.00";"16.00";"17.00"},0))</f>
        <v/>
      </c>
      <c r="N299" s="37" t="str">
        <f aca="false">IF(OR($M299="",$K299=""),"",$M299+$K299-1)</f>
        <v/>
      </c>
      <c r="O299" s="37" t="str">
        <f aca="false">IF($A299&lt;&gt;"Seçildi","",IF(OR($M299="",$N299=""),"",IF($N299&gt;10,"⚠ Saat Taşıyor","")))</f>
        <v/>
      </c>
      <c r="P299" s="37" t="str">
        <f aca="false">IF($A299&lt;&gt;"Seçildi","",IF(OR($G299="",$I299="",$M299=""),"",IF(SUMPRODUCT(($A$7:$A$456="Seçildi")*($G$7:$G$456=$G299)*($I$7:$I$456=$I299)*(ROW($A$7:$A$456)&lt;&gt;299)*($M$7:$M$456&lt;=$N299)*($N$7:$N$456&gt;=$M299))&gt;0,"⚠ Çakışma","OK")))</f>
        <v/>
      </c>
      <c r="Q299" s="37" t="str">
        <f aca="false">IF($A299&lt;&gt;"Seçildi","",IF(OR($L299="",$I299="",$M299=""),"",IF(SUMPRODUCT(($A$7:$A$456="Seçildi")*($L$7:$L$456=$L299)*($I$7:$I$456=$I299)*(ROW($A$7:$A$456)&lt;&gt;299)*($M$7:$M$456&lt;=$N299)*($N$7:$N$456&gt;=$M299))&gt;0,"⚠ Çakışma","OK")))</f>
        <v/>
      </c>
      <c r="R299" s="37" t="str">
        <f aca="false">IF($A299&lt;&gt;"Seçildi","",IF(OR($D299="",$I299="",$M299=""),"",IF(SUMPRODUCT(($A$7:$A$456="Seçildi")*($D$7:$D$456=$D299)*($I$7:$I$456=$I299)*(ROW($A$7:$A$456)&lt;&gt;299)*($M$7:$M$456&lt;=$N299)*($N$7:$N$456&gt;=$M299))&gt;0,"⚠ Çakışma","OK")))</f>
        <v/>
      </c>
      <c r="S299" s="37"/>
      <c r="T299" s="37" t="str">
        <f aca="false">IF(OR($A299&lt;&gt;"Seçildi",AND($I299="",$J299="")),"",IF(OR($O299&lt;&gt;"",$P299="⚠ Çakışma",$Q299="⚠ Çakışma",$R299="⚠ Çakışma"),"⚠ Kontrol Et","✓ Uygun"))</f>
        <v/>
      </c>
    </row>
    <row r="300" customFormat="false" ht="13.5" hidden="false" customHeight="true" outlineLevel="0" collapsed="false">
      <c r="A300" s="37" t="str">
        <f aca="false">'1-Ders Havuzu'!K100</f>
        <v>Seçilmedi</v>
      </c>
      <c r="B300" s="37" t="str">
        <f aca="false">IF($A300="Seçildi",IF('1-Ders Havuzu'!C100="","",'1-Ders Havuzu'!C100),"")</f>
        <v/>
      </c>
      <c r="C300" s="38" t="str">
        <f aca="false">IF($A300="Seçildi",IF('1-Ders Havuzu'!D100="","",'1-Ders Havuzu'!D100),"")</f>
        <v/>
      </c>
      <c r="D300" s="37" t="str">
        <f aca="false">IF($A300="Seçildi",IF('1-Ders Havuzu'!B100="","",'1-Ders Havuzu'!B100),"")</f>
        <v/>
      </c>
      <c r="E300" s="37" t="str">
        <f aca="false">IF($A300="Seçildi",IF('1-Ders Havuzu'!A100="","",'1-Ders Havuzu'!A100),"")</f>
        <v/>
      </c>
      <c r="F300" s="37" t="str">
        <f aca="false">IF($A300="Seçildi",IF('1-Ders Havuzu'!H100="","",'1-Ders Havuzu'!H100),"")</f>
        <v/>
      </c>
      <c r="G300" s="37" t="str">
        <f aca="false">IF($A300="Seçildi",IF('2-Ders-Öğr.Elemanı Eşleştirme'!H100="","",'2-Ders-Öğr.Elemanı Eşleştirme'!H100),"")</f>
        <v/>
      </c>
      <c r="H300" s="39" t="n">
        <v>3</v>
      </c>
      <c r="I300" s="36"/>
      <c r="J300" s="36"/>
      <c r="K300" s="36"/>
      <c r="L300" s="36"/>
      <c r="M300" s="37" t="str">
        <f aca="false">IF($J300="","",MATCH($J300,{"08.00";"09.00";"10.00";"11.00";"12.00";"13.00";"14.00";"15.00";"16.00";"17.00"},0))</f>
        <v/>
      </c>
      <c r="N300" s="37" t="str">
        <f aca="false">IF(OR($M300="",$K300=""),"",$M300+$K300-1)</f>
        <v/>
      </c>
      <c r="O300" s="37" t="str">
        <f aca="false">IF($A300&lt;&gt;"Seçildi","",IF(OR($M300="",$N300=""),"",IF($N300&gt;10,"⚠ Saat Taşıyor","")))</f>
        <v/>
      </c>
      <c r="P300" s="37" t="str">
        <f aca="false">IF($A300&lt;&gt;"Seçildi","",IF(OR($G300="",$I300="",$M300=""),"",IF(SUMPRODUCT(($A$7:$A$456="Seçildi")*($G$7:$G$456=$G300)*($I$7:$I$456=$I300)*(ROW($A$7:$A$456)&lt;&gt;300)*($M$7:$M$456&lt;=$N300)*($N$7:$N$456&gt;=$M300))&gt;0,"⚠ Çakışma","OK")))</f>
        <v/>
      </c>
      <c r="Q300" s="37" t="str">
        <f aca="false">IF($A300&lt;&gt;"Seçildi","",IF(OR($L300="",$I300="",$M300=""),"",IF(SUMPRODUCT(($A$7:$A$456="Seçildi")*($L$7:$L$456=$L300)*($I$7:$I$456=$I300)*(ROW($A$7:$A$456)&lt;&gt;300)*($M$7:$M$456&lt;=$N300)*($N$7:$N$456&gt;=$M300))&gt;0,"⚠ Çakışma","OK")))</f>
        <v/>
      </c>
      <c r="R300" s="37" t="str">
        <f aca="false">IF($A300&lt;&gt;"Seçildi","",IF(OR($D300="",$I300="",$M300=""),"",IF(SUMPRODUCT(($A$7:$A$456="Seçildi")*($D$7:$D$456=$D300)*($I$7:$I$456=$I300)*(ROW($A$7:$A$456)&lt;&gt;300)*($M$7:$M$456&lt;=$N300)*($N$7:$N$456&gt;=$M300))&gt;0,"⚠ Çakışma","OK")))</f>
        <v/>
      </c>
      <c r="S300" s="37"/>
      <c r="T300" s="37" t="str">
        <f aca="false">IF(OR($A300&lt;&gt;"Seçildi",AND($I300="",$J300="")),"",IF(OR($O300&lt;&gt;"",$P300="⚠ Çakışma",$Q300="⚠ Çakışma",$R300="⚠ Çakışma"),"⚠ Kontrol Et","✓ Uygun"))</f>
        <v/>
      </c>
    </row>
    <row r="301" customFormat="false" ht="13.5" hidden="false" customHeight="true" outlineLevel="0" collapsed="false">
      <c r="A301" s="33" t="str">
        <f aca="false">'1-Ders Havuzu'!K101</f>
        <v>Seçilmedi</v>
      </c>
      <c r="B301" s="33" t="str">
        <f aca="false">IF($A301="Seçildi",IF('1-Ders Havuzu'!C101="","",'1-Ders Havuzu'!C101),"")</f>
        <v/>
      </c>
      <c r="C301" s="34" t="str">
        <f aca="false">IF($A301="Seçildi",IF('1-Ders Havuzu'!D101="","",'1-Ders Havuzu'!D101),"")</f>
        <v/>
      </c>
      <c r="D301" s="33" t="str">
        <f aca="false">IF($A301="Seçildi",IF('1-Ders Havuzu'!B101="","",'1-Ders Havuzu'!B101),"")</f>
        <v/>
      </c>
      <c r="E301" s="33" t="str">
        <f aca="false">IF($A301="Seçildi",IF('1-Ders Havuzu'!A101="","",'1-Ders Havuzu'!A101),"")</f>
        <v/>
      </c>
      <c r="F301" s="33" t="str">
        <f aca="false">IF($A301="Seçildi",IF('1-Ders Havuzu'!H101="","",'1-Ders Havuzu'!H101),"")</f>
        <v/>
      </c>
      <c r="G301" s="33" t="str">
        <f aca="false">IF($A301="Seçildi",IF('2-Ders-Öğr.Elemanı Eşleştirme'!H101="","",'2-Ders-Öğr.Elemanı Eşleştirme'!H101),"")</f>
        <v/>
      </c>
      <c r="H301" s="35" t="n">
        <v>1</v>
      </c>
      <c r="I301" s="36"/>
      <c r="J301" s="36"/>
      <c r="K301" s="36"/>
      <c r="L301" s="36"/>
      <c r="M301" s="33" t="str">
        <f aca="false">IF($J301="","",MATCH($J301,{"08.00";"09.00";"10.00";"11.00";"12.00";"13.00";"14.00";"15.00";"16.00";"17.00"},0))</f>
        <v/>
      </c>
      <c r="N301" s="33" t="str">
        <f aca="false">IF(OR($M301="",$K301=""),"",$M301+$K301-1)</f>
        <v/>
      </c>
      <c r="O301" s="33" t="str">
        <f aca="false">IF($A301&lt;&gt;"Seçildi","",IF(OR($M301="",$N301=""),"",IF($N301&gt;10,"⚠ Saat Taşıyor","")))</f>
        <v/>
      </c>
      <c r="P301" s="33" t="str">
        <f aca="false">IF($A301&lt;&gt;"Seçildi","",IF(OR($G301="",$I301="",$M301=""),"",IF(SUMPRODUCT(($A$7:$A$456="Seçildi")*($G$7:$G$456=$G301)*($I$7:$I$456=$I301)*(ROW($A$7:$A$456)&lt;&gt;301)*($M$7:$M$456&lt;=$N301)*($N$7:$N$456&gt;=$M301))&gt;0,"⚠ Çakışma","OK")))</f>
        <v/>
      </c>
      <c r="Q301" s="33" t="str">
        <f aca="false">IF($A301&lt;&gt;"Seçildi","",IF(OR($L301="",$I301="",$M301=""),"",IF(SUMPRODUCT(($A$7:$A$456="Seçildi")*($L$7:$L$456=$L301)*($I$7:$I$456=$I301)*(ROW($A$7:$A$456)&lt;&gt;301)*($M$7:$M$456&lt;=$N301)*($N$7:$N$456&gt;=$M301))&gt;0,"⚠ Çakışma","OK")))</f>
        <v/>
      </c>
      <c r="R301" s="33" t="str">
        <f aca="false">IF($A301&lt;&gt;"Seçildi","",IF(OR($D301="",$I301="",$M301=""),"",IF(SUMPRODUCT(($A$7:$A$456="Seçildi")*($D$7:$D$456=$D301)*($I$7:$I$456=$I301)*(ROW($A$7:$A$456)&lt;&gt;301)*($M$7:$M$456&lt;=$N301)*($N$7:$N$456&gt;=$M301))&gt;0,"⚠ Çakışma","OK")))</f>
        <v/>
      </c>
      <c r="S301" s="33" t="str">
        <f aca="false">IF($A301&lt;&gt;"Seçildi","",IF(SUM($K301,$K302,$K303)&lt;&gt;$F301,"⚠ Dağılım: "&amp;SUM($K301:$K303)&amp;"/"&amp;$F301&amp;" saat","✓ Tamam"))</f>
        <v/>
      </c>
      <c r="T301" s="33" t="str">
        <f aca="false">IF($A301&lt;&gt;"Seçildi","",IF(OR($O301&lt;&gt;"",$P301="⚠ Çakışma",$Q301="⚠ Çakışma",$R301="⚠ Çakışma",LEFT($S301&amp;" ",1)="⚠"),"⚠ Kontrol Et","✓ Uygun"))</f>
        <v/>
      </c>
    </row>
    <row r="302" customFormat="false" ht="13.5" hidden="false" customHeight="true" outlineLevel="0" collapsed="false">
      <c r="A302" s="33" t="str">
        <f aca="false">'1-Ders Havuzu'!K101</f>
        <v>Seçilmedi</v>
      </c>
      <c r="B302" s="33" t="str">
        <f aca="false">IF($A302="Seçildi",IF('1-Ders Havuzu'!C101="","",'1-Ders Havuzu'!C101),"")</f>
        <v/>
      </c>
      <c r="C302" s="34" t="str">
        <f aca="false">IF($A302="Seçildi",IF('1-Ders Havuzu'!D101="","",'1-Ders Havuzu'!D101),"")</f>
        <v/>
      </c>
      <c r="D302" s="33" t="str">
        <f aca="false">IF($A302="Seçildi",IF('1-Ders Havuzu'!B101="","",'1-Ders Havuzu'!B101),"")</f>
        <v/>
      </c>
      <c r="E302" s="33" t="str">
        <f aca="false">IF($A302="Seçildi",IF('1-Ders Havuzu'!A101="","",'1-Ders Havuzu'!A101),"")</f>
        <v/>
      </c>
      <c r="F302" s="33" t="str">
        <f aca="false">IF($A302="Seçildi",IF('1-Ders Havuzu'!H101="","",'1-Ders Havuzu'!H101),"")</f>
        <v/>
      </c>
      <c r="G302" s="33" t="str">
        <f aca="false">IF($A302="Seçildi",IF('2-Ders-Öğr.Elemanı Eşleştirme'!H101="","",'2-Ders-Öğr.Elemanı Eşleştirme'!H101),"")</f>
        <v/>
      </c>
      <c r="H302" s="35" t="n">
        <v>2</v>
      </c>
      <c r="I302" s="36"/>
      <c r="J302" s="36"/>
      <c r="K302" s="36"/>
      <c r="L302" s="36"/>
      <c r="M302" s="33" t="str">
        <f aca="false">IF($J302="","",MATCH($J302,{"08.00";"09.00";"10.00";"11.00";"12.00";"13.00";"14.00";"15.00";"16.00";"17.00"},0))</f>
        <v/>
      </c>
      <c r="N302" s="33" t="str">
        <f aca="false">IF(OR($M302="",$K302=""),"",$M302+$K302-1)</f>
        <v/>
      </c>
      <c r="O302" s="33" t="str">
        <f aca="false">IF($A302&lt;&gt;"Seçildi","",IF(OR($M302="",$N302=""),"",IF($N302&gt;10,"⚠ Saat Taşıyor","")))</f>
        <v/>
      </c>
      <c r="P302" s="33" t="str">
        <f aca="false">IF($A302&lt;&gt;"Seçildi","",IF(OR($G302="",$I302="",$M302=""),"",IF(SUMPRODUCT(($A$7:$A$456="Seçildi")*($G$7:$G$456=$G302)*($I$7:$I$456=$I302)*(ROW($A$7:$A$456)&lt;&gt;302)*($M$7:$M$456&lt;=$N302)*($N$7:$N$456&gt;=$M302))&gt;0,"⚠ Çakışma","OK")))</f>
        <v/>
      </c>
      <c r="Q302" s="33" t="str">
        <f aca="false">IF($A302&lt;&gt;"Seçildi","",IF(OR($L302="",$I302="",$M302=""),"",IF(SUMPRODUCT(($A$7:$A$456="Seçildi")*($L$7:$L$456=$L302)*($I$7:$I$456=$I302)*(ROW($A$7:$A$456)&lt;&gt;302)*($M$7:$M$456&lt;=$N302)*($N$7:$N$456&gt;=$M302))&gt;0,"⚠ Çakışma","OK")))</f>
        <v/>
      </c>
      <c r="R302" s="33" t="str">
        <f aca="false">IF($A302&lt;&gt;"Seçildi","",IF(OR($D302="",$I302="",$M302=""),"",IF(SUMPRODUCT(($A$7:$A$456="Seçildi")*($D$7:$D$456=$D302)*($I$7:$I$456=$I302)*(ROW($A$7:$A$456)&lt;&gt;302)*($M$7:$M$456&lt;=$N302)*($N$7:$N$456&gt;=$M302))&gt;0,"⚠ Çakışma","OK")))</f>
        <v/>
      </c>
      <c r="S302" s="33"/>
      <c r="T302" s="33" t="str">
        <f aca="false">IF(OR($A302&lt;&gt;"Seçildi",AND($I302="",$J302="")),"",IF(OR($O302&lt;&gt;"",$P302="⚠ Çakışma",$Q302="⚠ Çakışma",$R302="⚠ Çakışma"),"⚠ Kontrol Et","✓ Uygun"))</f>
        <v/>
      </c>
    </row>
    <row r="303" customFormat="false" ht="13.5" hidden="false" customHeight="true" outlineLevel="0" collapsed="false">
      <c r="A303" s="33" t="str">
        <f aca="false">'1-Ders Havuzu'!K101</f>
        <v>Seçilmedi</v>
      </c>
      <c r="B303" s="33" t="str">
        <f aca="false">IF($A303="Seçildi",IF('1-Ders Havuzu'!C101="","",'1-Ders Havuzu'!C101),"")</f>
        <v/>
      </c>
      <c r="C303" s="34" t="str">
        <f aca="false">IF($A303="Seçildi",IF('1-Ders Havuzu'!D101="","",'1-Ders Havuzu'!D101),"")</f>
        <v/>
      </c>
      <c r="D303" s="33" t="str">
        <f aca="false">IF($A303="Seçildi",IF('1-Ders Havuzu'!B101="","",'1-Ders Havuzu'!B101),"")</f>
        <v/>
      </c>
      <c r="E303" s="33" t="str">
        <f aca="false">IF($A303="Seçildi",IF('1-Ders Havuzu'!A101="","",'1-Ders Havuzu'!A101),"")</f>
        <v/>
      </c>
      <c r="F303" s="33" t="str">
        <f aca="false">IF($A303="Seçildi",IF('1-Ders Havuzu'!H101="","",'1-Ders Havuzu'!H101),"")</f>
        <v/>
      </c>
      <c r="G303" s="33" t="str">
        <f aca="false">IF($A303="Seçildi",IF('2-Ders-Öğr.Elemanı Eşleştirme'!H101="","",'2-Ders-Öğr.Elemanı Eşleştirme'!H101),"")</f>
        <v/>
      </c>
      <c r="H303" s="35" t="n">
        <v>3</v>
      </c>
      <c r="I303" s="36"/>
      <c r="J303" s="36"/>
      <c r="K303" s="36"/>
      <c r="L303" s="36"/>
      <c r="M303" s="33" t="str">
        <f aca="false">IF($J303="","",MATCH($J303,{"08.00";"09.00";"10.00";"11.00";"12.00";"13.00";"14.00";"15.00";"16.00";"17.00"},0))</f>
        <v/>
      </c>
      <c r="N303" s="33" t="str">
        <f aca="false">IF(OR($M303="",$K303=""),"",$M303+$K303-1)</f>
        <v/>
      </c>
      <c r="O303" s="33" t="str">
        <f aca="false">IF($A303&lt;&gt;"Seçildi","",IF(OR($M303="",$N303=""),"",IF($N303&gt;10,"⚠ Saat Taşıyor","")))</f>
        <v/>
      </c>
      <c r="P303" s="33" t="str">
        <f aca="false">IF($A303&lt;&gt;"Seçildi","",IF(OR($G303="",$I303="",$M303=""),"",IF(SUMPRODUCT(($A$7:$A$456="Seçildi")*($G$7:$G$456=$G303)*($I$7:$I$456=$I303)*(ROW($A$7:$A$456)&lt;&gt;303)*($M$7:$M$456&lt;=$N303)*($N$7:$N$456&gt;=$M303))&gt;0,"⚠ Çakışma","OK")))</f>
        <v/>
      </c>
      <c r="Q303" s="33" t="str">
        <f aca="false">IF($A303&lt;&gt;"Seçildi","",IF(OR($L303="",$I303="",$M303=""),"",IF(SUMPRODUCT(($A$7:$A$456="Seçildi")*($L$7:$L$456=$L303)*($I$7:$I$456=$I303)*(ROW($A$7:$A$456)&lt;&gt;303)*($M$7:$M$456&lt;=$N303)*($N$7:$N$456&gt;=$M303))&gt;0,"⚠ Çakışma","OK")))</f>
        <v/>
      </c>
      <c r="R303" s="33" t="str">
        <f aca="false">IF($A303&lt;&gt;"Seçildi","",IF(OR($D303="",$I303="",$M303=""),"",IF(SUMPRODUCT(($A$7:$A$456="Seçildi")*($D$7:$D$456=$D303)*($I$7:$I$456=$I303)*(ROW($A$7:$A$456)&lt;&gt;303)*($M$7:$M$456&lt;=$N303)*($N$7:$N$456&gt;=$M303))&gt;0,"⚠ Çakışma","OK")))</f>
        <v/>
      </c>
      <c r="S303" s="33"/>
      <c r="T303" s="33" t="str">
        <f aca="false">IF(OR($A303&lt;&gt;"Seçildi",AND($I303="",$J303="")),"",IF(OR($O303&lt;&gt;"",$P303="⚠ Çakışma",$Q303="⚠ Çakışma",$R303="⚠ Çakışma"),"⚠ Kontrol Et","✓ Uygun"))</f>
        <v/>
      </c>
    </row>
    <row r="304" customFormat="false" ht="13.5" hidden="false" customHeight="true" outlineLevel="0" collapsed="false">
      <c r="A304" s="37" t="str">
        <f aca="false">'1-Ders Havuzu'!K102</f>
        <v>Seçilmedi</v>
      </c>
      <c r="B304" s="37" t="str">
        <f aca="false">IF($A304="Seçildi",IF('1-Ders Havuzu'!C102="","",'1-Ders Havuzu'!C102),"")</f>
        <v/>
      </c>
      <c r="C304" s="38" t="str">
        <f aca="false">IF($A304="Seçildi",IF('1-Ders Havuzu'!D102="","",'1-Ders Havuzu'!D102),"")</f>
        <v/>
      </c>
      <c r="D304" s="37" t="str">
        <f aca="false">IF($A304="Seçildi",IF('1-Ders Havuzu'!B102="","",'1-Ders Havuzu'!B102),"")</f>
        <v/>
      </c>
      <c r="E304" s="37" t="str">
        <f aca="false">IF($A304="Seçildi",IF('1-Ders Havuzu'!A102="","",'1-Ders Havuzu'!A102),"")</f>
        <v/>
      </c>
      <c r="F304" s="37" t="str">
        <f aca="false">IF($A304="Seçildi",IF('1-Ders Havuzu'!H102="","",'1-Ders Havuzu'!H102),"")</f>
        <v/>
      </c>
      <c r="G304" s="37" t="str">
        <f aca="false">IF($A304="Seçildi",IF('2-Ders-Öğr.Elemanı Eşleştirme'!H102="","",'2-Ders-Öğr.Elemanı Eşleştirme'!H102),"")</f>
        <v/>
      </c>
      <c r="H304" s="39" t="n">
        <v>1</v>
      </c>
      <c r="I304" s="36"/>
      <c r="J304" s="36"/>
      <c r="K304" s="36"/>
      <c r="L304" s="36"/>
      <c r="M304" s="37" t="str">
        <f aca="false">IF($J304="","",MATCH($J304,{"08.00";"09.00";"10.00";"11.00";"12.00";"13.00";"14.00";"15.00";"16.00";"17.00"},0))</f>
        <v/>
      </c>
      <c r="N304" s="37" t="str">
        <f aca="false">IF(OR($M304="",$K304=""),"",$M304+$K304-1)</f>
        <v/>
      </c>
      <c r="O304" s="37" t="str">
        <f aca="false">IF($A304&lt;&gt;"Seçildi","",IF(OR($M304="",$N304=""),"",IF($N304&gt;10,"⚠ Saat Taşıyor","")))</f>
        <v/>
      </c>
      <c r="P304" s="37" t="str">
        <f aca="false">IF($A304&lt;&gt;"Seçildi","",IF(OR($G304="",$I304="",$M304=""),"",IF(SUMPRODUCT(($A$7:$A$456="Seçildi")*($G$7:$G$456=$G304)*($I$7:$I$456=$I304)*(ROW($A$7:$A$456)&lt;&gt;304)*($M$7:$M$456&lt;=$N304)*($N$7:$N$456&gt;=$M304))&gt;0,"⚠ Çakışma","OK")))</f>
        <v/>
      </c>
      <c r="Q304" s="37" t="str">
        <f aca="false">IF($A304&lt;&gt;"Seçildi","",IF(OR($L304="",$I304="",$M304=""),"",IF(SUMPRODUCT(($A$7:$A$456="Seçildi")*($L$7:$L$456=$L304)*($I$7:$I$456=$I304)*(ROW($A$7:$A$456)&lt;&gt;304)*($M$7:$M$456&lt;=$N304)*($N$7:$N$456&gt;=$M304))&gt;0,"⚠ Çakışma","OK")))</f>
        <v/>
      </c>
      <c r="R304" s="37" t="str">
        <f aca="false">IF($A304&lt;&gt;"Seçildi","",IF(OR($D304="",$I304="",$M304=""),"",IF(SUMPRODUCT(($A$7:$A$456="Seçildi")*($D$7:$D$456=$D304)*($I$7:$I$456=$I304)*(ROW($A$7:$A$456)&lt;&gt;304)*($M$7:$M$456&lt;=$N304)*($N$7:$N$456&gt;=$M304))&gt;0,"⚠ Çakışma","OK")))</f>
        <v/>
      </c>
      <c r="S304" s="37" t="str">
        <f aca="false">IF($A304&lt;&gt;"Seçildi","",IF(SUM($K304,$K305,$K306)&lt;&gt;$F304,"⚠ Dağılım: "&amp;SUM($K304:$K306)&amp;"/"&amp;$F304&amp;" saat","✓ Tamam"))</f>
        <v/>
      </c>
      <c r="T304" s="37" t="str">
        <f aca="false">IF($A304&lt;&gt;"Seçildi","",IF(OR($O304&lt;&gt;"",$P304="⚠ Çakışma",$Q304="⚠ Çakışma",$R304="⚠ Çakışma",LEFT($S304&amp;" ",1)="⚠"),"⚠ Kontrol Et","✓ Uygun"))</f>
        <v/>
      </c>
    </row>
    <row r="305" customFormat="false" ht="13.5" hidden="false" customHeight="true" outlineLevel="0" collapsed="false">
      <c r="A305" s="37" t="str">
        <f aca="false">'1-Ders Havuzu'!K102</f>
        <v>Seçilmedi</v>
      </c>
      <c r="B305" s="37" t="str">
        <f aca="false">IF($A305="Seçildi",IF('1-Ders Havuzu'!C102="","",'1-Ders Havuzu'!C102),"")</f>
        <v/>
      </c>
      <c r="C305" s="38" t="str">
        <f aca="false">IF($A305="Seçildi",IF('1-Ders Havuzu'!D102="","",'1-Ders Havuzu'!D102),"")</f>
        <v/>
      </c>
      <c r="D305" s="37" t="str">
        <f aca="false">IF($A305="Seçildi",IF('1-Ders Havuzu'!B102="","",'1-Ders Havuzu'!B102),"")</f>
        <v/>
      </c>
      <c r="E305" s="37" t="str">
        <f aca="false">IF($A305="Seçildi",IF('1-Ders Havuzu'!A102="","",'1-Ders Havuzu'!A102),"")</f>
        <v/>
      </c>
      <c r="F305" s="37" t="str">
        <f aca="false">IF($A305="Seçildi",IF('1-Ders Havuzu'!H102="","",'1-Ders Havuzu'!H102),"")</f>
        <v/>
      </c>
      <c r="G305" s="37" t="str">
        <f aca="false">IF($A305="Seçildi",IF('2-Ders-Öğr.Elemanı Eşleştirme'!H102="","",'2-Ders-Öğr.Elemanı Eşleştirme'!H102),"")</f>
        <v/>
      </c>
      <c r="H305" s="39" t="n">
        <v>2</v>
      </c>
      <c r="I305" s="36"/>
      <c r="J305" s="36"/>
      <c r="K305" s="36"/>
      <c r="L305" s="36"/>
      <c r="M305" s="37" t="str">
        <f aca="false">IF($J305="","",MATCH($J305,{"08.00";"09.00";"10.00";"11.00";"12.00";"13.00";"14.00";"15.00";"16.00";"17.00"},0))</f>
        <v/>
      </c>
      <c r="N305" s="37" t="str">
        <f aca="false">IF(OR($M305="",$K305=""),"",$M305+$K305-1)</f>
        <v/>
      </c>
      <c r="O305" s="37" t="str">
        <f aca="false">IF($A305&lt;&gt;"Seçildi","",IF(OR($M305="",$N305=""),"",IF($N305&gt;10,"⚠ Saat Taşıyor","")))</f>
        <v/>
      </c>
      <c r="P305" s="37" t="str">
        <f aca="false">IF($A305&lt;&gt;"Seçildi","",IF(OR($G305="",$I305="",$M305=""),"",IF(SUMPRODUCT(($A$7:$A$456="Seçildi")*($G$7:$G$456=$G305)*($I$7:$I$456=$I305)*(ROW($A$7:$A$456)&lt;&gt;305)*($M$7:$M$456&lt;=$N305)*($N$7:$N$456&gt;=$M305))&gt;0,"⚠ Çakışma","OK")))</f>
        <v/>
      </c>
      <c r="Q305" s="37" t="str">
        <f aca="false">IF($A305&lt;&gt;"Seçildi","",IF(OR($L305="",$I305="",$M305=""),"",IF(SUMPRODUCT(($A$7:$A$456="Seçildi")*($L$7:$L$456=$L305)*($I$7:$I$456=$I305)*(ROW($A$7:$A$456)&lt;&gt;305)*($M$7:$M$456&lt;=$N305)*($N$7:$N$456&gt;=$M305))&gt;0,"⚠ Çakışma","OK")))</f>
        <v/>
      </c>
      <c r="R305" s="37" t="str">
        <f aca="false">IF($A305&lt;&gt;"Seçildi","",IF(OR($D305="",$I305="",$M305=""),"",IF(SUMPRODUCT(($A$7:$A$456="Seçildi")*($D$7:$D$456=$D305)*($I$7:$I$456=$I305)*(ROW($A$7:$A$456)&lt;&gt;305)*($M$7:$M$456&lt;=$N305)*($N$7:$N$456&gt;=$M305))&gt;0,"⚠ Çakışma","OK")))</f>
        <v/>
      </c>
      <c r="S305" s="37"/>
      <c r="T305" s="37" t="str">
        <f aca="false">IF(OR($A305&lt;&gt;"Seçildi",AND($I305="",$J305="")),"",IF(OR($O305&lt;&gt;"",$P305="⚠ Çakışma",$Q305="⚠ Çakışma",$R305="⚠ Çakışma"),"⚠ Kontrol Et","✓ Uygun"))</f>
        <v/>
      </c>
    </row>
    <row r="306" customFormat="false" ht="13.5" hidden="false" customHeight="true" outlineLevel="0" collapsed="false">
      <c r="A306" s="37" t="str">
        <f aca="false">'1-Ders Havuzu'!K102</f>
        <v>Seçilmedi</v>
      </c>
      <c r="B306" s="37" t="str">
        <f aca="false">IF($A306="Seçildi",IF('1-Ders Havuzu'!C102="","",'1-Ders Havuzu'!C102),"")</f>
        <v/>
      </c>
      <c r="C306" s="38" t="str">
        <f aca="false">IF($A306="Seçildi",IF('1-Ders Havuzu'!D102="","",'1-Ders Havuzu'!D102),"")</f>
        <v/>
      </c>
      <c r="D306" s="37" t="str">
        <f aca="false">IF($A306="Seçildi",IF('1-Ders Havuzu'!B102="","",'1-Ders Havuzu'!B102),"")</f>
        <v/>
      </c>
      <c r="E306" s="37" t="str">
        <f aca="false">IF($A306="Seçildi",IF('1-Ders Havuzu'!A102="","",'1-Ders Havuzu'!A102),"")</f>
        <v/>
      </c>
      <c r="F306" s="37" t="str">
        <f aca="false">IF($A306="Seçildi",IF('1-Ders Havuzu'!H102="","",'1-Ders Havuzu'!H102),"")</f>
        <v/>
      </c>
      <c r="G306" s="37" t="str">
        <f aca="false">IF($A306="Seçildi",IF('2-Ders-Öğr.Elemanı Eşleştirme'!H102="","",'2-Ders-Öğr.Elemanı Eşleştirme'!H102),"")</f>
        <v/>
      </c>
      <c r="H306" s="39" t="n">
        <v>3</v>
      </c>
      <c r="I306" s="36"/>
      <c r="J306" s="36"/>
      <c r="K306" s="36"/>
      <c r="L306" s="36"/>
      <c r="M306" s="37" t="str">
        <f aca="false">IF($J306="","",MATCH($J306,{"08.00";"09.00";"10.00";"11.00";"12.00";"13.00";"14.00";"15.00";"16.00";"17.00"},0))</f>
        <v/>
      </c>
      <c r="N306" s="37" t="str">
        <f aca="false">IF(OR($M306="",$K306=""),"",$M306+$K306-1)</f>
        <v/>
      </c>
      <c r="O306" s="37" t="str">
        <f aca="false">IF($A306&lt;&gt;"Seçildi","",IF(OR($M306="",$N306=""),"",IF($N306&gt;10,"⚠ Saat Taşıyor","")))</f>
        <v/>
      </c>
      <c r="P306" s="37" t="str">
        <f aca="false">IF($A306&lt;&gt;"Seçildi","",IF(OR($G306="",$I306="",$M306=""),"",IF(SUMPRODUCT(($A$7:$A$456="Seçildi")*($G$7:$G$456=$G306)*($I$7:$I$456=$I306)*(ROW($A$7:$A$456)&lt;&gt;306)*($M$7:$M$456&lt;=$N306)*($N$7:$N$456&gt;=$M306))&gt;0,"⚠ Çakışma","OK")))</f>
        <v/>
      </c>
      <c r="Q306" s="37" t="str">
        <f aca="false">IF($A306&lt;&gt;"Seçildi","",IF(OR($L306="",$I306="",$M306=""),"",IF(SUMPRODUCT(($A$7:$A$456="Seçildi")*($L$7:$L$456=$L306)*($I$7:$I$456=$I306)*(ROW($A$7:$A$456)&lt;&gt;306)*($M$7:$M$456&lt;=$N306)*($N$7:$N$456&gt;=$M306))&gt;0,"⚠ Çakışma","OK")))</f>
        <v/>
      </c>
      <c r="R306" s="37" t="str">
        <f aca="false">IF($A306&lt;&gt;"Seçildi","",IF(OR($D306="",$I306="",$M306=""),"",IF(SUMPRODUCT(($A$7:$A$456="Seçildi")*($D$7:$D$456=$D306)*($I$7:$I$456=$I306)*(ROW($A$7:$A$456)&lt;&gt;306)*($M$7:$M$456&lt;=$N306)*($N$7:$N$456&gt;=$M306))&gt;0,"⚠ Çakışma","OK")))</f>
        <v/>
      </c>
      <c r="S306" s="37"/>
      <c r="T306" s="37" t="str">
        <f aca="false">IF(OR($A306&lt;&gt;"Seçildi",AND($I306="",$J306="")),"",IF(OR($O306&lt;&gt;"",$P306="⚠ Çakışma",$Q306="⚠ Çakışma",$R306="⚠ Çakışma"),"⚠ Kontrol Et","✓ Uygun"))</f>
        <v/>
      </c>
    </row>
    <row r="307" customFormat="false" ht="13.5" hidden="false" customHeight="true" outlineLevel="0" collapsed="false">
      <c r="A307" s="33" t="str">
        <f aca="false">'1-Ders Havuzu'!K103</f>
        <v>Seçilmedi</v>
      </c>
      <c r="B307" s="33" t="str">
        <f aca="false">IF($A307="Seçildi",IF('1-Ders Havuzu'!C103="","",'1-Ders Havuzu'!C103),"")</f>
        <v/>
      </c>
      <c r="C307" s="34" t="str">
        <f aca="false">IF($A307="Seçildi",IF('1-Ders Havuzu'!D103="","",'1-Ders Havuzu'!D103),"")</f>
        <v/>
      </c>
      <c r="D307" s="33" t="str">
        <f aca="false">IF($A307="Seçildi",IF('1-Ders Havuzu'!B103="","",'1-Ders Havuzu'!B103),"")</f>
        <v/>
      </c>
      <c r="E307" s="33" t="str">
        <f aca="false">IF($A307="Seçildi",IF('1-Ders Havuzu'!A103="","",'1-Ders Havuzu'!A103),"")</f>
        <v/>
      </c>
      <c r="F307" s="33" t="str">
        <f aca="false">IF($A307="Seçildi",IF('1-Ders Havuzu'!H103="","",'1-Ders Havuzu'!H103),"")</f>
        <v/>
      </c>
      <c r="G307" s="33" t="str">
        <f aca="false">IF($A307="Seçildi",IF('2-Ders-Öğr.Elemanı Eşleştirme'!H103="","",'2-Ders-Öğr.Elemanı Eşleştirme'!H103),"")</f>
        <v/>
      </c>
      <c r="H307" s="35" t="n">
        <v>1</v>
      </c>
      <c r="I307" s="36"/>
      <c r="J307" s="36"/>
      <c r="K307" s="36"/>
      <c r="L307" s="36"/>
      <c r="M307" s="33" t="str">
        <f aca="false">IF($J307="","",MATCH($J307,{"08.00";"09.00";"10.00";"11.00";"12.00";"13.00";"14.00";"15.00";"16.00";"17.00"},0))</f>
        <v/>
      </c>
      <c r="N307" s="33" t="str">
        <f aca="false">IF(OR($M307="",$K307=""),"",$M307+$K307-1)</f>
        <v/>
      </c>
      <c r="O307" s="33" t="str">
        <f aca="false">IF($A307&lt;&gt;"Seçildi","",IF(OR($M307="",$N307=""),"",IF($N307&gt;10,"⚠ Saat Taşıyor","")))</f>
        <v/>
      </c>
      <c r="P307" s="33" t="str">
        <f aca="false">IF($A307&lt;&gt;"Seçildi","",IF(OR($G307="",$I307="",$M307=""),"",IF(SUMPRODUCT(($A$7:$A$456="Seçildi")*($G$7:$G$456=$G307)*($I$7:$I$456=$I307)*(ROW($A$7:$A$456)&lt;&gt;307)*($M$7:$M$456&lt;=$N307)*($N$7:$N$456&gt;=$M307))&gt;0,"⚠ Çakışma","OK")))</f>
        <v/>
      </c>
      <c r="Q307" s="33" t="str">
        <f aca="false">IF($A307&lt;&gt;"Seçildi","",IF(OR($L307="",$I307="",$M307=""),"",IF(SUMPRODUCT(($A$7:$A$456="Seçildi")*($L$7:$L$456=$L307)*($I$7:$I$456=$I307)*(ROW($A$7:$A$456)&lt;&gt;307)*($M$7:$M$456&lt;=$N307)*($N$7:$N$456&gt;=$M307))&gt;0,"⚠ Çakışma","OK")))</f>
        <v/>
      </c>
      <c r="R307" s="33" t="str">
        <f aca="false">IF($A307&lt;&gt;"Seçildi","",IF(OR($D307="",$I307="",$M307=""),"",IF(SUMPRODUCT(($A$7:$A$456="Seçildi")*($D$7:$D$456=$D307)*($I$7:$I$456=$I307)*(ROW($A$7:$A$456)&lt;&gt;307)*($M$7:$M$456&lt;=$N307)*($N$7:$N$456&gt;=$M307))&gt;0,"⚠ Çakışma","OK")))</f>
        <v/>
      </c>
      <c r="S307" s="33" t="str">
        <f aca="false">IF($A307&lt;&gt;"Seçildi","",IF(SUM($K307,$K308,$K309)&lt;&gt;$F307,"⚠ Dağılım: "&amp;SUM($K307:$K309)&amp;"/"&amp;$F307&amp;" saat","✓ Tamam"))</f>
        <v/>
      </c>
      <c r="T307" s="33" t="str">
        <f aca="false">IF($A307&lt;&gt;"Seçildi","",IF(OR($O307&lt;&gt;"",$P307="⚠ Çakışma",$Q307="⚠ Çakışma",$R307="⚠ Çakışma",LEFT($S307&amp;" ",1)="⚠"),"⚠ Kontrol Et","✓ Uygun"))</f>
        <v/>
      </c>
    </row>
    <row r="308" customFormat="false" ht="13.5" hidden="false" customHeight="true" outlineLevel="0" collapsed="false">
      <c r="A308" s="33" t="str">
        <f aca="false">'1-Ders Havuzu'!K103</f>
        <v>Seçilmedi</v>
      </c>
      <c r="B308" s="33" t="str">
        <f aca="false">IF($A308="Seçildi",IF('1-Ders Havuzu'!C103="","",'1-Ders Havuzu'!C103),"")</f>
        <v/>
      </c>
      <c r="C308" s="34" t="str">
        <f aca="false">IF($A308="Seçildi",IF('1-Ders Havuzu'!D103="","",'1-Ders Havuzu'!D103),"")</f>
        <v/>
      </c>
      <c r="D308" s="33" t="str">
        <f aca="false">IF($A308="Seçildi",IF('1-Ders Havuzu'!B103="","",'1-Ders Havuzu'!B103),"")</f>
        <v/>
      </c>
      <c r="E308" s="33" t="str">
        <f aca="false">IF($A308="Seçildi",IF('1-Ders Havuzu'!A103="","",'1-Ders Havuzu'!A103),"")</f>
        <v/>
      </c>
      <c r="F308" s="33" t="str">
        <f aca="false">IF($A308="Seçildi",IF('1-Ders Havuzu'!H103="","",'1-Ders Havuzu'!H103),"")</f>
        <v/>
      </c>
      <c r="G308" s="33" t="str">
        <f aca="false">IF($A308="Seçildi",IF('2-Ders-Öğr.Elemanı Eşleştirme'!H103="","",'2-Ders-Öğr.Elemanı Eşleştirme'!H103),"")</f>
        <v/>
      </c>
      <c r="H308" s="35" t="n">
        <v>2</v>
      </c>
      <c r="I308" s="36"/>
      <c r="J308" s="36"/>
      <c r="K308" s="36"/>
      <c r="L308" s="36"/>
      <c r="M308" s="33" t="str">
        <f aca="false">IF($J308="","",MATCH($J308,{"08.00";"09.00";"10.00";"11.00";"12.00";"13.00";"14.00";"15.00";"16.00";"17.00"},0))</f>
        <v/>
      </c>
      <c r="N308" s="33" t="str">
        <f aca="false">IF(OR($M308="",$K308=""),"",$M308+$K308-1)</f>
        <v/>
      </c>
      <c r="O308" s="33" t="str">
        <f aca="false">IF($A308&lt;&gt;"Seçildi","",IF(OR($M308="",$N308=""),"",IF($N308&gt;10,"⚠ Saat Taşıyor","")))</f>
        <v/>
      </c>
      <c r="P308" s="33" t="str">
        <f aca="false">IF($A308&lt;&gt;"Seçildi","",IF(OR($G308="",$I308="",$M308=""),"",IF(SUMPRODUCT(($A$7:$A$456="Seçildi")*($G$7:$G$456=$G308)*($I$7:$I$456=$I308)*(ROW($A$7:$A$456)&lt;&gt;308)*($M$7:$M$456&lt;=$N308)*($N$7:$N$456&gt;=$M308))&gt;0,"⚠ Çakışma","OK")))</f>
        <v/>
      </c>
      <c r="Q308" s="33" t="str">
        <f aca="false">IF($A308&lt;&gt;"Seçildi","",IF(OR($L308="",$I308="",$M308=""),"",IF(SUMPRODUCT(($A$7:$A$456="Seçildi")*($L$7:$L$456=$L308)*($I$7:$I$456=$I308)*(ROW($A$7:$A$456)&lt;&gt;308)*($M$7:$M$456&lt;=$N308)*($N$7:$N$456&gt;=$M308))&gt;0,"⚠ Çakışma","OK")))</f>
        <v/>
      </c>
      <c r="R308" s="33" t="str">
        <f aca="false">IF($A308&lt;&gt;"Seçildi","",IF(OR($D308="",$I308="",$M308=""),"",IF(SUMPRODUCT(($A$7:$A$456="Seçildi")*($D$7:$D$456=$D308)*($I$7:$I$456=$I308)*(ROW($A$7:$A$456)&lt;&gt;308)*($M$7:$M$456&lt;=$N308)*($N$7:$N$456&gt;=$M308))&gt;0,"⚠ Çakışma","OK")))</f>
        <v/>
      </c>
      <c r="S308" s="33"/>
      <c r="T308" s="33" t="str">
        <f aca="false">IF(OR($A308&lt;&gt;"Seçildi",AND($I308="",$J308="")),"",IF(OR($O308&lt;&gt;"",$P308="⚠ Çakışma",$Q308="⚠ Çakışma",$R308="⚠ Çakışma"),"⚠ Kontrol Et","✓ Uygun"))</f>
        <v/>
      </c>
    </row>
    <row r="309" customFormat="false" ht="13.5" hidden="false" customHeight="true" outlineLevel="0" collapsed="false">
      <c r="A309" s="33" t="str">
        <f aca="false">'1-Ders Havuzu'!K103</f>
        <v>Seçilmedi</v>
      </c>
      <c r="B309" s="33" t="str">
        <f aca="false">IF($A309="Seçildi",IF('1-Ders Havuzu'!C103="","",'1-Ders Havuzu'!C103),"")</f>
        <v/>
      </c>
      <c r="C309" s="34" t="str">
        <f aca="false">IF($A309="Seçildi",IF('1-Ders Havuzu'!D103="","",'1-Ders Havuzu'!D103),"")</f>
        <v/>
      </c>
      <c r="D309" s="33" t="str">
        <f aca="false">IF($A309="Seçildi",IF('1-Ders Havuzu'!B103="","",'1-Ders Havuzu'!B103),"")</f>
        <v/>
      </c>
      <c r="E309" s="33" t="str">
        <f aca="false">IF($A309="Seçildi",IF('1-Ders Havuzu'!A103="","",'1-Ders Havuzu'!A103),"")</f>
        <v/>
      </c>
      <c r="F309" s="33" t="str">
        <f aca="false">IF($A309="Seçildi",IF('1-Ders Havuzu'!H103="","",'1-Ders Havuzu'!H103),"")</f>
        <v/>
      </c>
      <c r="G309" s="33" t="str">
        <f aca="false">IF($A309="Seçildi",IF('2-Ders-Öğr.Elemanı Eşleştirme'!H103="","",'2-Ders-Öğr.Elemanı Eşleştirme'!H103),"")</f>
        <v/>
      </c>
      <c r="H309" s="35" t="n">
        <v>3</v>
      </c>
      <c r="I309" s="36"/>
      <c r="J309" s="36"/>
      <c r="K309" s="36"/>
      <c r="L309" s="36"/>
      <c r="M309" s="33" t="str">
        <f aca="false">IF($J309="","",MATCH($J309,{"08.00";"09.00";"10.00";"11.00";"12.00";"13.00";"14.00";"15.00";"16.00";"17.00"},0))</f>
        <v/>
      </c>
      <c r="N309" s="33" t="str">
        <f aca="false">IF(OR($M309="",$K309=""),"",$M309+$K309-1)</f>
        <v/>
      </c>
      <c r="O309" s="33" t="str">
        <f aca="false">IF($A309&lt;&gt;"Seçildi","",IF(OR($M309="",$N309=""),"",IF($N309&gt;10,"⚠ Saat Taşıyor","")))</f>
        <v/>
      </c>
      <c r="P309" s="33" t="str">
        <f aca="false">IF($A309&lt;&gt;"Seçildi","",IF(OR($G309="",$I309="",$M309=""),"",IF(SUMPRODUCT(($A$7:$A$456="Seçildi")*($G$7:$G$456=$G309)*($I$7:$I$456=$I309)*(ROW($A$7:$A$456)&lt;&gt;309)*($M$7:$M$456&lt;=$N309)*($N$7:$N$456&gt;=$M309))&gt;0,"⚠ Çakışma","OK")))</f>
        <v/>
      </c>
      <c r="Q309" s="33" t="str">
        <f aca="false">IF($A309&lt;&gt;"Seçildi","",IF(OR($L309="",$I309="",$M309=""),"",IF(SUMPRODUCT(($A$7:$A$456="Seçildi")*($L$7:$L$456=$L309)*($I$7:$I$456=$I309)*(ROW($A$7:$A$456)&lt;&gt;309)*($M$7:$M$456&lt;=$N309)*($N$7:$N$456&gt;=$M309))&gt;0,"⚠ Çakışma","OK")))</f>
        <v/>
      </c>
      <c r="R309" s="33" t="str">
        <f aca="false">IF($A309&lt;&gt;"Seçildi","",IF(OR($D309="",$I309="",$M309=""),"",IF(SUMPRODUCT(($A$7:$A$456="Seçildi")*($D$7:$D$456=$D309)*($I$7:$I$456=$I309)*(ROW($A$7:$A$456)&lt;&gt;309)*($M$7:$M$456&lt;=$N309)*($N$7:$N$456&gt;=$M309))&gt;0,"⚠ Çakışma","OK")))</f>
        <v/>
      </c>
      <c r="S309" s="33"/>
      <c r="T309" s="33" t="str">
        <f aca="false">IF(OR($A309&lt;&gt;"Seçildi",AND($I309="",$J309="")),"",IF(OR($O309&lt;&gt;"",$P309="⚠ Çakışma",$Q309="⚠ Çakışma",$R309="⚠ Çakışma"),"⚠ Kontrol Et","✓ Uygun"))</f>
        <v/>
      </c>
    </row>
    <row r="310" customFormat="false" ht="13.5" hidden="false" customHeight="true" outlineLevel="0" collapsed="false">
      <c r="A310" s="37" t="str">
        <f aca="false">'1-Ders Havuzu'!K104</f>
        <v>Seçilmedi</v>
      </c>
      <c r="B310" s="37" t="str">
        <f aca="false">IF($A310="Seçildi",IF('1-Ders Havuzu'!C104="","",'1-Ders Havuzu'!C104),"")</f>
        <v/>
      </c>
      <c r="C310" s="38" t="str">
        <f aca="false">IF($A310="Seçildi",IF('1-Ders Havuzu'!D104="","",'1-Ders Havuzu'!D104),"")</f>
        <v/>
      </c>
      <c r="D310" s="37" t="str">
        <f aca="false">IF($A310="Seçildi",IF('1-Ders Havuzu'!B104="","",'1-Ders Havuzu'!B104),"")</f>
        <v/>
      </c>
      <c r="E310" s="37" t="str">
        <f aca="false">IF($A310="Seçildi",IF('1-Ders Havuzu'!A104="","",'1-Ders Havuzu'!A104),"")</f>
        <v/>
      </c>
      <c r="F310" s="37" t="str">
        <f aca="false">IF($A310="Seçildi",IF('1-Ders Havuzu'!H104="","",'1-Ders Havuzu'!H104),"")</f>
        <v/>
      </c>
      <c r="G310" s="37" t="str">
        <f aca="false">IF($A310="Seçildi",IF('2-Ders-Öğr.Elemanı Eşleştirme'!H104="","",'2-Ders-Öğr.Elemanı Eşleştirme'!H104),"")</f>
        <v/>
      </c>
      <c r="H310" s="39" t="n">
        <v>1</v>
      </c>
      <c r="I310" s="36"/>
      <c r="J310" s="36"/>
      <c r="K310" s="36"/>
      <c r="L310" s="36"/>
      <c r="M310" s="37" t="str">
        <f aca="false">IF($J310="","",MATCH($J310,{"08.00";"09.00";"10.00";"11.00";"12.00";"13.00";"14.00";"15.00";"16.00";"17.00"},0))</f>
        <v/>
      </c>
      <c r="N310" s="37" t="str">
        <f aca="false">IF(OR($M310="",$K310=""),"",$M310+$K310-1)</f>
        <v/>
      </c>
      <c r="O310" s="37" t="str">
        <f aca="false">IF($A310&lt;&gt;"Seçildi","",IF(OR($M310="",$N310=""),"",IF($N310&gt;10,"⚠ Saat Taşıyor","")))</f>
        <v/>
      </c>
      <c r="P310" s="37" t="str">
        <f aca="false">IF($A310&lt;&gt;"Seçildi","",IF(OR($G310="",$I310="",$M310=""),"",IF(SUMPRODUCT(($A$7:$A$456="Seçildi")*($G$7:$G$456=$G310)*($I$7:$I$456=$I310)*(ROW($A$7:$A$456)&lt;&gt;310)*($M$7:$M$456&lt;=$N310)*($N$7:$N$456&gt;=$M310))&gt;0,"⚠ Çakışma","OK")))</f>
        <v/>
      </c>
      <c r="Q310" s="37" t="str">
        <f aca="false">IF($A310&lt;&gt;"Seçildi","",IF(OR($L310="",$I310="",$M310=""),"",IF(SUMPRODUCT(($A$7:$A$456="Seçildi")*($L$7:$L$456=$L310)*($I$7:$I$456=$I310)*(ROW($A$7:$A$456)&lt;&gt;310)*($M$7:$M$456&lt;=$N310)*($N$7:$N$456&gt;=$M310))&gt;0,"⚠ Çakışma","OK")))</f>
        <v/>
      </c>
      <c r="R310" s="37" t="str">
        <f aca="false">IF($A310&lt;&gt;"Seçildi","",IF(OR($D310="",$I310="",$M310=""),"",IF(SUMPRODUCT(($A$7:$A$456="Seçildi")*($D$7:$D$456=$D310)*($I$7:$I$456=$I310)*(ROW($A$7:$A$456)&lt;&gt;310)*($M$7:$M$456&lt;=$N310)*($N$7:$N$456&gt;=$M310))&gt;0,"⚠ Çakışma","OK")))</f>
        <v/>
      </c>
      <c r="S310" s="37" t="str">
        <f aca="false">IF($A310&lt;&gt;"Seçildi","",IF(SUM($K310,$K311,$K312)&lt;&gt;$F310,"⚠ Dağılım: "&amp;SUM($K310:$K312)&amp;"/"&amp;$F310&amp;" saat","✓ Tamam"))</f>
        <v/>
      </c>
      <c r="T310" s="37" t="str">
        <f aca="false">IF($A310&lt;&gt;"Seçildi","",IF(OR($O310&lt;&gt;"",$P310="⚠ Çakışma",$Q310="⚠ Çakışma",$R310="⚠ Çakışma",LEFT($S310&amp;" ",1)="⚠"),"⚠ Kontrol Et","✓ Uygun"))</f>
        <v/>
      </c>
    </row>
    <row r="311" customFormat="false" ht="13.5" hidden="false" customHeight="true" outlineLevel="0" collapsed="false">
      <c r="A311" s="37" t="str">
        <f aca="false">'1-Ders Havuzu'!K104</f>
        <v>Seçilmedi</v>
      </c>
      <c r="B311" s="37" t="str">
        <f aca="false">IF($A311="Seçildi",IF('1-Ders Havuzu'!C104="","",'1-Ders Havuzu'!C104),"")</f>
        <v/>
      </c>
      <c r="C311" s="38" t="str">
        <f aca="false">IF($A311="Seçildi",IF('1-Ders Havuzu'!D104="","",'1-Ders Havuzu'!D104),"")</f>
        <v/>
      </c>
      <c r="D311" s="37" t="str">
        <f aca="false">IF($A311="Seçildi",IF('1-Ders Havuzu'!B104="","",'1-Ders Havuzu'!B104),"")</f>
        <v/>
      </c>
      <c r="E311" s="37" t="str">
        <f aca="false">IF($A311="Seçildi",IF('1-Ders Havuzu'!A104="","",'1-Ders Havuzu'!A104),"")</f>
        <v/>
      </c>
      <c r="F311" s="37" t="str">
        <f aca="false">IF($A311="Seçildi",IF('1-Ders Havuzu'!H104="","",'1-Ders Havuzu'!H104),"")</f>
        <v/>
      </c>
      <c r="G311" s="37" t="str">
        <f aca="false">IF($A311="Seçildi",IF('2-Ders-Öğr.Elemanı Eşleştirme'!H104="","",'2-Ders-Öğr.Elemanı Eşleştirme'!H104),"")</f>
        <v/>
      </c>
      <c r="H311" s="39" t="n">
        <v>2</v>
      </c>
      <c r="I311" s="36"/>
      <c r="J311" s="36"/>
      <c r="K311" s="36"/>
      <c r="L311" s="36"/>
      <c r="M311" s="37" t="str">
        <f aca="false">IF($J311="","",MATCH($J311,{"08.00";"09.00";"10.00";"11.00";"12.00";"13.00";"14.00";"15.00";"16.00";"17.00"},0))</f>
        <v/>
      </c>
      <c r="N311" s="37" t="str">
        <f aca="false">IF(OR($M311="",$K311=""),"",$M311+$K311-1)</f>
        <v/>
      </c>
      <c r="O311" s="37" t="str">
        <f aca="false">IF($A311&lt;&gt;"Seçildi","",IF(OR($M311="",$N311=""),"",IF($N311&gt;10,"⚠ Saat Taşıyor","")))</f>
        <v/>
      </c>
      <c r="P311" s="37" t="str">
        <f aca="false">IF($A311&lt;&gt;"Seçildi","",IF(OR($G311="",$I311="",$M311=""),"",IF(SUMPRODUCT(($A$7:$A$456="Seçildi")*($G$7:$G$456=$G311)*($I$7:$I$456=$I311)*(ROW($A$7:$A$456)&lt;&gt;311)*($M$7:$M$456&lt;=$N311)*($N$7:$N$456&gt;=$M311))&gt;0,"⚠ Çakışma","OK")))</f>
        <v/>
      </c>
      <c r="Q311" s="37" t="str">
        <f aca="false">IF($A311&lt;&gt;"Seçildi","",IF(OR($L311="",$I311="",$M311=""),"",IF(SUMPRODUCT(($A$7:$A$456="Seçildi")*($L$7:$L$456=$L311)*($I$7:$I$456=$I311)*(ROW($A$7:$A$456)&lt;&gt;311)*($M$7:$M$456&lt;=$N311)*($N$7:$N$456&gt;=$M311))&gt;0,"⚠ Çakışma","OK")))</f>
        <v/>
      </c>
      <c r="R311" s="37" t="str">
        <f aca="false">IF($A311&lt;&gt;"Seçildi","",IF(OR($D311="",$I311="",$M311=""),"",IF(SUMPRODUCT(($A$7:$A$456="Seçildi")*($D$7:$D$456=$D311)*($I$7:$I$456=$I311)*(ROW($A$7:$A$456)&lt;&gt;311)*($M$7:$M$456&lt;=$N311)*($N$7:$N$456&gt;=$M311))&gt;0,"⚠ Çakışma","OK")))</f>
        <v/>
      </c>
      <c r="S311" s="37"/>
      <c r="T311" s="37" t="str">
        <f aca="false">IF(OR($A311&lt;&gt;"Seçildi",AND($I311="",$J311="")),"",IF(OR($O311&lt;&gt;"",$P311="⚠ Çakışma",$Q311="⚠ Çakışma",$R311="⚠ Çakışma"),"⚠ Kontrol Et","✓ Uygun"))</f>
        <v/>
      </c>
    </row>
    <row r="312" customFormat="false" ht="13.5" hidden="false" customHeight="true" outlineLevel="0" collapsed="false">
      <c r="A312" s="37" t="str">
        <f aca="false">'1-Ders Havuzu'!K104</f>
        <v>Seçilmedi</v>
      </c>
      <c r="B312" s="37" t="str">
        <f aca="false">IF($A312="Seçildi",IF('1-Ders Havuzu'!C104="","",'1-Ders Havuzu'!C104),"")</f>
        <v/>
      </c>
      <c r="C312" s="38" t="str">
        <f aca="false">IF($A312="Seçildi",IF('1-Ders Havuzu'!D104="","",'1-Ders Havuzu'!D104),"")</f>
        <v/>
      </c>
      <c r="D312" s="37" t="str">
        <f aca="false">IF($A312="Seçildi",IF('1-Ders Havuzu'!B104="","",'1-Ders Havuzu'!B104),"")</f>
        <v/>
      </c>
      <c r="E312" s="37" t="str">
        <f aca="false">IF($A312="Seçildi",IF('1-Ders Havuzu'!A104="","",'1-Ders Havuzu'!A104),"")</f>
        <v/>
      </c>
      <c r="F312" s="37" t="str">
        <f aca="false">IF($A312="Seçildi",IF('1-Ders Havuzu'!H104="","",'1-Ders Havuzu'!H104),"")</f>
        <v/>
      </c>
      <c r="G312" s="37" t="str">
        <f aca="false">IF($A312="Seçildi",IF('2-Ders-Öğr.Elemanı Eşleştirme'!H104="","",'2-Ders-Öğr.Elemanı Eşleştirme'!H104),"")</f>
        <v/>
      </c>
      <c r="H312" s="39" t="n">
        <v>3</v>
      </c>
      <c r="I312" s="36"/>
      <c r="J312" s="36"/>
      <c r="K312" s="36"/>
      <c r="L312" s="36"/>
      <c r="M312" s="37" t="str">
        <f aca="false">IF($J312="","",MATCH($J312,{"08.00";"09.00";"10.00";"11.00";"12.00";"13.00";"14.00";"15.00";"16.00";"17.00"},0))</f>
        <v/>
      </c>
      <c r="N312" s="37" t="str">
        <f aca="false">IF(OR($M312="",$K312=""),"",$M312+$K312-1)</f>
        <v/>
      </c>
      <c r="O312" s="37" t="str">
        <f aca="false">IF($A312&lt;&gt;"Seçildi","",IF(OR($M312="",$N312=""),"",IF($N312&gt;10,"⚠ Saat Taşıyor","")))</f>
        <v/>
      </c>
      <c r="P312" s="37" t="str">
        <f aca="false">IF($A312&lt;&gt;"Seçildi","",IF(OR($G312="",$I312="",$M312=""),"",IF(SUMPRODUCT(($A$7:$A$456="Seçildi")*($G$7:$G$456=$G312)*($I$7:$I$456=$I312)*(ROW($A$7:$A$456)&lt;&gt;312)*($M$7:$M$456&lt;=$N312)*($N$7:$N$456&gt;=$M312))&gt;0,"⚠ Çakışma","OK")))</f>
        <v/>
      </c>
      <c r="Q312" s="37" t="str">
        <f aca="false">IF($A312&lt;&gt;"Seçildi","",IF(OR($L312="",$I312="",$M312=""),"",IF(SUMPRODUCT(($A$7:$A$456="Seçildi")*($L$7:$L$456=$L312)*($I$7:$I$456=$I312)*(ROW($A$7:$A$456)&lt;&gt;312)*($M$7:$M$456&lt;=$N312)*($N$7:$N$456&gt;=$M312))&gt;0,"⚠ Çakışma","OK")))</f>
        <v/>
      </c>
      <c r="R312" s="37" t="str">
        <f aca="false">IF($A312&lt;&gt;"Seçildi","",IF(OR($D312="",$I312="",$M312=""),"",IF(SUMPRODUCT(($A$7:$A$456="Seçildi")*($D$7:$D$456=$D312)*($I$7:$I$456=$I312)*(ROW($A$7:$A$456)&lt;&gt;312)*($M$7:$M$456&lt;=$N312)*($N$7:$N$456&gt;=$M312))&gt;0,"⚠ Çakışma","OK")))</f>
        <v/>
      </c>
      <c r="S312" s="37"/>
      <c r="T312" s="37" t="str">
        <f aca="false">IF(OR($A312&lt;&gt;"Seçildi",AND($I312="",$J312="")),"",IF(OR($O312&lt;&gt;"",$P312="⚠ Çakışma",$Q312="⚠ Çakışma",$R312="⚠ Çakışma"),"⚠ Kontrol Et","✓ Uygun"))</f>
        <v/>
      </c>
    </row>
    <row r="313" customFormat="false" ht="13.5" hidden="false" customHeight="true" outlineLevel="0" collapsed="false">
      <c r="A313" s="33" t="str">
        <f aca="false">'1-Ders Havuzu'!K105</f>
        <v>Seçilmedi</v>
      </c>
      <c r="B313" s="33" t="str">
        <f aca="false">IF($A313="Seçildi",IF('1-Ders Havuzu'!C105="","",'1-Ders Havuzu'!C105),"")</f>
        <v/>
      </c>
      <c r="C313" s="34" t="str">
        <f aca="false">IF($A313="Seçildi",IF('1-Ders Havuzu'!D105="","",'1-Ders Havuzu'!D105),"")</f>
        <v/>
      </c>
      <c r="D313" s="33" t="str">
        <f aca="false">IF($A313="Seçildi",IF('1-Ders Havuzu'!B105="","",'1-Ders Havuzu'!B105),"")</f>
        <v/>
      </c>
      <c r="E313" s="33" t="str">
        <f aca="false">IF($A313="Seçildi",IF('1-Ders Havuzu'!A105="","",'1-Ders Havuzu'!A105),"")</f>
        <v/>
      </c>
      <c r="F313" s="33" t="str">
        <f aca="false">IF($A313="Seçildi",IF('1-Ders Havuzu'!H105="","",'1-Ders Havuzu'!H105),"")</f>
        <v/>
      </c>
      <c r="G313" s="33" t="str">
        <f aca="false">IF($A313="Seçildi",IF('2-Ders-Öğr.Elemanı Eşleştirme'!H105="","",'2-Ders-Öğr.Elemanı Eşleştirme'!H105),"")</f>
        <v/>
      </c>
      <c r="H313" s="35" t="n">
        <v>1</v>
      </c>
      <c r="I313" s="36"/>
      <c r="J313" s="36"/>
      <c r="K313" s="36"/>
      <c r="L313" s="36"/>
      <c r="M313" s="33" t="str">
        <f aca="false">IF($J313="","",MATCH($J313,{"08.00";"09.00";"10.00";"11.00";"12.00";"13.00";"14.00";"15.00";"16.00";"17.00"},0))</f>
        <v/>
      </c>
      <c r="N313" s="33" t="str">
        <f aca="false">IF(OR($M313="",$K313=""),"",$M313+$K313-1)</f>
        <v/>
      </c>
      <c r="O313" s="33" t="str">
        <f aca="false">IF($A313&lt;&gt;"Seçildi","",IF(OR($M313="",$N313=""),"",IF($N313&gt;10,"⚠ Saat Taşıyor","")))</f>
        <v/>
      </c>
      <c r="P313" s="33" t="str">
        <f aca="false">IF($A313&lt;&gt;"Seçildi","",IF(OR($G313="",$I313="",$M313=""),"",IF(SUMPRODUCT(($A$7:$A$456="Seçildi")*($G$7:$G$456=$G313)*($I$7:$I$456=$I313)*(ROW($A$7:$A$456)&lt;&gt;313)*($M$7:$M$456&lt;=$N313)*($N$7:$N$456&gt;=$M313))&gt;0,"⚠ Çakışma","OK")))</f>
        <v/>
      </c>
      <c r="Q313" s="33" t="str">
        <f aca="false">IF($A313&lt;&gt;"Seçildi","",IF(OR($L313="",$I313="",$M313=""),"",IF(SUMPRODUCT(($A$7:$A$456="Seçildi")*($L$7:$L$456=$L313)*($I$7:$I$456=$I313)*(ROW($A$7:$A$456)&lt;&gt;313)*($M$7:$M$456&lt;=$N313)*($N$7:$N$456&gt;=$M313))&gt;0,"⚠ Çakışma","OK")))</f>
        <v/>
      </c>
      <c r="R313" s="33" t="str">
        <f aca="false">IF($A313&lt;&gt;"Seçildi","",IF(OR($D313="",$I313="",$M313=""),"",IF(SUMPRODUCT(($A$7:$A$456="Seçildi")*($D$7:$D$456=$D313)*($I$7:$I$456=$I313)*(ROW($A$7:$A$456)&lt;&gt;313)*($M$7:$M$456&lt;=$N313)*($N$7:$N$456&gt;=$M313))&gt;0,"⚠ Çakışma","OK")))</f>
        <v/>
      </c>
      <c r="S313" s="33" t="str">
        <f aca="false">IF($A313&lt;&gt;"Seçildi","",IF(SUM($K313,$K314,$K315)&lt;&gt;$F313,"⚠ Dağılım: "&amp;SUM($K313:$K315)&amp;"/"&amp;$F313&amp;" saat","✓ Tamam"))</f>
        <v/>
      </c>
      <c r="T313" s="33" t="str">
        <f aca="false">IF($A313&lt;&gt;"Seçildi","",IF(OR($O313&lt;&gt;"",$P313="⚠ Çakışma",$Q313="⚠ Çakışma",$R313="⚠ Çakışma",LEFT($S313&amp;" ",1)="⚠"),"⚠ Kontrol Et","✓ Uygun"))</f>
        <v/>
      </c>
    </row>
    <row r="314" customFormat="false" ht="13.5" hidden="false" customHeight="true" outlineLevel="0" collapsed="false">
      <c r="A314" s="33" t="str">
        <f aca="false">'1-Ders Havuzu'!K105</f>
        <v>Seçilmedi</v>
      </c>
      <c r="B314" s="33" t="str">
        <f aca="false">IF($A314="Seçildi",IF('1-Ders Havuzu'!C105="","",'1-Ders Havuzu'!C105),"")</f>
        <v/>
      </c>
      <c r="C314" s="34" t="str">
        <f aca="false">IF($A314="Seçildi",IF('1-Ders Havuzu'!D105="","",'1-Ders Havuzu'!D105),"")</f>
        <v/>
      </c>
      <c r="D314" s="33" t="str">
        <f aca="false">IF($A314="Seçildi",IF('1-Ders Havuzu'!B105="","",'1-Ders Havuzu'!B105),"")</f>
        <v/>
      </c>
      <c r="E314" s="33" t="str">
        <f aca="false">IF($A314="Seçildi",IF('1-Ders Havuzu'!A105="","",'1-Ders Havuzu'!A105),"")</f>
        <v/>
      </c>
      <c r="F314" s="33" t="str">
        <f aca="false">IF($A314="Seçildi",IF('1-Ders Havuzu'!H105="","",'1-Ders Havuzu'!H105),"")</f>
        <v/>
      </c>
      <c r="G314" s="33" t="str">
        <f aca="false">IF($A314="Seçildi",IF('2-Ders-Öğr.Elemanı Eşleştirme'!H105="","",'2-Ders-Öğr.Elemanı Eşleştirme'!H105),"")</f>
        <v/>
      </c>
      <c r="H314" s="35" t="n">
        <v>2</v>
      </c>
      <c r="I314" s="36"/>
      <c r="J314" s="36"/>
      <c r="K314" s="36"/>
      <c r="L314" s="36"/>
      <c r="M314" s="33" t="str">
        <f aca="false">IF($J314="","",MATCH($J314,{"08.00";"09.00";"10.00";"11.00";"12.00";"13.00";"14.00";"15.00";"16.00";"17.00"},0))</f>
        <v/>
      </c>
      <c r="N314" s="33" t="str">
        <f aca="false">IF(OR($M314="",$K314=""),"",$M314+$K314-1)</f>
        <v/>
      </c>
      <c r="O314" s="33" t="str">
        <f aca="false">IF($A314&lt;&gt;"Seçildi","",IF(OR($M314="",$N314=""),"",IF($N314&gt;10,"⚠ Saat Taşıyor","")))</f>
        <v/>
      </c>
      <c r="P314" s="33" t="str">
        <f aca="false">IF($A314&lt;&gt;"Seçildi","",IF(OR($G314="",$I314="",$M314=""),"",IF(SUMPRODUCT(($A$7:$A$456="Seçildi")*($G$7:$G$456=$G314)*($I$7:$I$456=$I314)*(ROW($A$7:$A$456)&lt;&gt;314)*($M$7:$M$456&lt;=$N314)*($N$7:$N$456&gt;=$M314))&gt;0,"⚠ Çakışma","OK")))</f>
        <v/>
      </c>
      <c r="Q314" s="33" t="str">
        <f aca="false">IF($A314&lt;&gt;"Seçildi","",IF(OR($L314="",$I314="",$M314=""),"",IF(SUMPRODUCT(($A$7:$A$456="Seçildi")*($L$7:$L$456=$L314)*($I$7:$I$456=$I314)*(ROW($A$7:$A$456)&lt;&gt;314)*($M$7:$M$456&lt;=$N314)*($N$7:$N$456&gt;=$M314))&gt;0,"⚠ Çakışma","OK")))</f>
        <v/>
      </c>
      <c r="R314" s="33" t="str">
        <f aca="false">IF($A314&lt;&gt;"Seçildi","",IF(OR($D314="",$I314="",$M314=""),"",IF(SUMPRODUCT(($A$7:$A$456="Seçildi")*($D$7:$D$456=$D314)*($I$7:$I$456=$I314)*(ROW($A$7:$A$456)&lt;&gt;314)*($M$7:$M$456&lt;=$N314)*($N$7:$N$456&gt;=$M314))&gt;0,"⚠ Çakışma","OK")))</f>
        <v/>
      </c>
      <c r="S314" s="33"/>
      <c r="T314" s="33" t="str">
        <f aca="false">IF(OR($A314&lt;&gt;"Seçildi",AND($I314="",$J314="")),"",IF(OR($O314&lt;&gt;"",$P314="⚠ Çakışma",$Q314="⚠ Çakışma",$R314="⚠ Çakışma"),"⚠ Kontrol Et","✓ Uygun"))</f>
        <v/>
      </c>
    </row>
    <row r="315" customFormat="false" ht="13.5" hidden="false" customHeight="true" outlineLevel="0" collapsed="false">
      <c r="A315" s="33" t="str">
        <f aca="false">'1-Ders Havuzu'!K105</f>
        <v>Seçilmedi</v>
      </c>
      <c r="B315" s="33" t="str">
        <f aca="false">IF($A315="Seçildi",IF('1-Ders Havuzu'!C105="","",'1-Ders Havuzu'!C105),"")</f>
        <v/>
      </c>
      <c r="C315" s="34" t="str">
        <f aca="false">IF($A315="Seçildi",IF('1-Ders Havuzu'!D105="","",'1-Ders Havuzu'!D105),"")</f>
        <v/>
      </c>
      <c r="D315" s="33" t="str">
        <f aca="false">IF($A315="Seçildi",IF('1-Ders Havuzu'!B105="","",'1-Ders Havuzu'!B105),"")</f>
        <v/>
      </c>
      <c r="E315" s="33" t="str">
        <f aca="false">IF($A315="Seçildi",IF('1-Ders Havuzu'!A105="","",'1-Ders Havuzu'!A105),"")</f>
        <v/>
      </c>
      <c r="F315" s="33" t="str">
        <f aca="false">IF($A315="Seçildi",IF('1-Ders Havuzu'!H105="","",'1-Ders Havuzu'!H105),"")</f>
        <v/>
      </c>
      <c r="G315" s="33" t="str">
        <f aca="false">IF($A315="Seçildi",IF('2-Ders-Öğr.Elemanı Eşleştirme'!H105="","",'2-Ders-Öğr.Elemanı Eşleştirme'!H105),"")</f>
        <v/>
      </c>
      <c r="H315" s="35" t="n">
        <v>3</v>
      </c>
      <c r="I315" s="36"/>
      <c r="J315" s="36"/>
      <c r="K315" s="36"/>
      <c r="L315" s="36"/>
      <c r="M315" s="33" t="str">
        <f aca="false">IF($J315="","",MATCH($J315,{"08.00";"09.00";"10.00";"11.00";"12.00";"13.00";"14.00";"15.00";"16.00";"17.00"},0))</f>
        <v/>
      </c>
      <c r="N315" s="33" t="str">
        <f aca="false">IF(OR($M315="",$K315=""),"",$M315+$K315-1)</f>
        <v/>
      </c>
      <c r="O315" s="33" t="str">
        <f aca="false">IF($A315&lt;&gt;"Seçildi","",IF(OR($M315="",$N315=""),"",IF($N315&gt;10,"⚠ Saat Taşıyor","")))</f>
        <v/>
      </c>
      <c r="P315" s="33" t="str">
        <f aca="false">IF($A315&lt;&gt;"Seçildi","",IF(OR($G315="",$I315="",$M315=""),"",IF(SUMPRODUCT(($A$7:$A$456="Seçildi")*($G$7:$G$456=$G315)*($I$7:$I$456=$I315)*(ROW($A$7:$A$456)&lt;&gt;315)*($M$7:$M$456&lt;=$N315)*($N$7:$N$456&gt;=$M315))&gt;0,"⚠ Çakışma","OK")))</f>
        <v/>
      </c>
      <c r="Q315" s="33" t="str">
        <f aca="false">IF($A315&lt;&gt;"Seçildi","",IF(OR($L315="",$I315="",$M315=""),"",IF(SUMPRODUCT(($A$7:$A$456="Seçildi")*($L$7:$L$456=$L315)*($I$7:$I$456=$I315)*(ROW($A$7:$A$456)&lt;&gt;315)*($M$7:$M$456&lt;=$N315)*($N$7:$N$456&gt;=$M315))&gt;0,"⚠ Çakışma","OK")))</f>
        <v/>
      </c>
      <c r="R315" s="33" t="str">
        <f aca="false">IF($A315&lt;&gt;"Seçildi","",IF(OR($D315="",$I315="",$M315=""),"",IF(SUMPRODUCT(($A$7:$A$456="Seçildi")*($D$7:$D$456=$D315)*($I$7:$I$456=$I315)*(ROW($A$7:$A$456)&lt;&gt;315)*($M$7:$M$456&lt;=$N315)*($N$7:$N$456&gt;=$M315))&gt;0,"⚠ Çakışma","OK")))</f>
        <v/>
      </c>
      <c r="S315" s="33"/>
      <c r="T315" s="33" t="str">
        <f aca="false">IF(OR($A315&lt;&gt;"Seçildi",AND($I315="",$J315="")),"",IF(OR($O315&lt;&gt;"",$P315="⚠ Çakışma",$Q315="⚠ Çakışma",$R315="⚠ Çakışma"),"⚠ Kontrol Et","✓ Uygun"))</f>
        <v/>
      </c>
    </row>
    <row r="316" customFormat="false" ht="13.5" hidden="false" customHeight="true" outlineLevel="0" collapsed="false">
      <c r="A316" s="37" t="str">
        <f aca="false">'1-Ders Havuzu'!K106</f>
        <v>Seçilmedi</v>
      </c>
      <c r="B316" s="37" t="str">
        <f aca="false">IF($A316="Seçildi",IF('1-Ders Havuzu'!C106="","",'1-Ders Havuzu'!C106),"")</f>
        <v/>
      </c>
      <c r="C316" s="38" t="str">
        <f aca="false">IF($A316="Seçildi",IF('1-Ders Havuzu'!D106="","",'1-Ders Havuzu'!D106),"")</f>
        <v/>
      </c>
      <c r="D316" s="37" t="str">
        <f aca="false">IF($A316="Seçildi",IF('1-Ders Havuzu'!B106="","",'1-Ders Havuzu'!B106),"")</f>
        <v/>
      </c>
      <c r="E316" s="37" t="str">
        <f aca="false">IF($A316="Seçildi",IF('1-Ders Havuzu'!A106="","",'1-Ders Havuzu'!A106),"")</f>
        <v/>
      </c>
      <c r="F316" s="37" t="str">
        <f aca="false">IF($A316="Seçildi",IF('1-Ders Havuzu'!H106="","",'1-Ders Havuzu'!H106),"")</f>
        <v/>
      </c>
      <c r="G316" s="37" t="str">
        <f aca="false">IF($A316="Seçildi",IF('2-Ders-Öğr.Elemanı Eşleştirme'!H106="","",'2-Ders-Öğr.Elemanı Eşleştirme'!H106),"")</f>
        <v/>
      </c>
      <c r="H316" s="39" t="n">
        <v>1</v>
      </c>
      <c r="I316" s="36"/>
      <c r="J316" s="36"/>
      <c r="K316" s="36"/>
      <c r="L316" s="36"/>
      <c r="M316" s="37" t="str">
        <f aca="false">IF($J316="","",MATCH($J316,{"08.00";"09.00";"10.00";"11.00";"12.00";"13.00";"14.00";"15.00";"16.00";"17.00"},0))</f>
        <v/>
      </c>
      <c r="N316" s="37" t="str">
        <f aca="false">IF(OR($M316="",$K316=""),"",$M316+$K316-1)</f>
        <v/>
      </c>
      <c r="O316" s="37" t="str">
        <f aca="false">IF($A316&lt;&gt;"Seçildi","",IF(OR($M316="",$N316=""),"",IF($N316&gt;10,"⚠ Saat Taşıyor","")))</f>
        <v/>
      </c>
      <c r="P316" s="37" t="str">
        <f aca="false">IF($A316&lt;&gt;"Seçildi","",IF(OR($G316="",$I316="",$M316=""),"",IF(SUMPRODUCT(($A$7:$A$456="Seçildi")*($G$7:$G$456=$G316)*($I$7:$I$456=$I316)*(ROW($A$7:$A$456)&lt;&gt;316)*($M$7:$M$456&lt;=$N316)*($N$7:$N$456&gt;=$M316))&gt;0,"⚠ Çakışma","OK")))</f>
        <v/>
      </c>
      <c r="Q316" s="37" t="str">
        <f aca="false">IF($A316&lt;&gt;"Seçildi","",IF(OR($L316="",$I316="",$M316=""),"",IF(SUMPRODUCT(($A$7:$A$456="Seçildi")*($L$7:$L$456=$L316)*($I$7:$I$456=$I316)*(ROW($A$7:$A$456)&lt;&gt;316)*($M$7:$M$456&lt;=$N316)*($N$7:$N$456&gt;=$M316))&gt;0,"⚠ Çakışma","OK")))</f>
        <v/>
      </c>
      <c r="R316" s="37" t="str">
        <f aca="false">IF($A316&lt;&gt;"Seçildi","",IF(OR($D316="",$I316="",$M316=""),"",IF(SUMPRODUCT(($A$7:$A$456="Seçildi")*($D$7:$D$456=$D316)*($I$7:$I$456=$I316)*(ROW($A$7:$A$456)&lt;&gt;316)*($M$7:$M$456&lt;=$N316)*($N$7:$N$456&gt;=$M316))&gt;0,"⚠ Çakışma","OK")))</f>
        <v/>
      </c>
      <c r="S316" s="37" t="str">
        <f aca="false">IF($A316&lt;&gt;"Seçildi","",IF(SUM($K316,$K317,$K318)&lt;&gt;$F316,"⚠ Dağılım: "&amp;SUM($K316:$K318)&amp;"/"&amp;$F316&amp;" saat","✓ Tamam"))</f>
        <v/>
      </c>
      <c r="T316" s="37" t="str">
        <f aca="false">IF($A316&lt;&gt;"Seçildi","",IF(OR($O316&lt;&gt;"",$P316="⚠ Çakışma",$Q316="⚠ Çakışma",$R316="⚠ Çakışma",LEFT($S316&amp;" ",1)="⚠"),"⚠ Kontrol Et","✓ Uygun"))</f>
        <v/>
      </c>
    </row>
    <row r="317" customFormat="false" ht="13.5" hidden="false" customHeight="true" outlineLevel="0" collapsed="false">
      <c r="A317" s="37" t="str">
        <f aca="false">'1-Ders Havuzu'!K106</f>
        <v>Seçilmedi</v>
      </c>
      <c r="B317" s="37" t="str">
        <f aca="false">IF($A317="Seçildi",IF('1-Ders Havuzu'!C106="","",'1-Ders Havuzu'!C106),"")</f>
        <v/>
      </c>
      <c r="C317" s="38" t="str">
        <f aca="false">IF($A317="Seçildi",IF('1-Ders Havuzu'!D106="","",'1-Ders Havuzu'!D106),"")</f>
        <v/>
      </c>
      <c r="D317" s="37" t="str">
        <f aca="false">IF($A317="Seçildi",IF('1-Ders Havuzu'!B106="","",'1-Ders Havuzu'!B106),"")</f>
        <v/>
      </c>
      <c r="E317" s="37" t="str">
        <f aca="false">IF($A317="Seçildi",IF('1-Ders Havuzu'!A106="","",'1-Ders Havuzu'!A106),"")</f>
        <v/>
      </c>
      <c r="F317" s="37" t="str">
        <f aca="false">IF($A317="Seçildi",IF('1-Ders Havuzu'!H106="","",'1-Ders Havuzu'!H106),"")</f>
        <v/>
      </c>
      <c r="G317" s="37" t="str">
        <f aca="false">IF($A317="Seçildi",IF('2-Ders-Öğr.Elemanı Eşleştirme'!H106="","",'2-Ders-Öğr.Elemanı Eşleştirme'!H106),"")</f>
        <v/>
      </c>
      <c r="H317" s="39" t="n">
        <v>2</v>
      </c>
      <c r="I317" s="36"/>
      <c r="J317" s="36"/>
      <c r="K317" s="36"/>
      <c r="L317" s="36"/>
      <c r="M317" s="37" t="str">
        <f aca="false">IF($J317="","",MATCH($J317,{"08.00";"09.00";"10.00";"11.00";"12.00";"13.00";"14.00";"15.00";"16.00";"17.00"},0))</f>
        <v/>
      </c>
      <c r="N317" s="37" t="str">
        <f aca="false">IF(OR($M317="",$K317=""),"",$M317+$K317-1)</f>
        <v/>
      </c>
      <c r="O317" s="37" t="str">
        <f aca="false">IF($A317&lt;&gt;"Seçildi","",IF(OR($M317="",$N317=""),"",IF($N317&gt;10,"⚠ Saat Taşıyor","")))</f>
        <v/>
      </c>
      <c r="P317" s="37" t="str">
        <f aca="false">IF($A317&lt;&gt;"Seçildi","",IF(OR($G317="",$I317="",$M317=""),"",IF(SUMPRODUCT(($A$7:$A$456="Seçildi")*($G$7:$G$456=$G317)*($I$7:$I$456=$I317)*(ROW($A$7:$A$456)&lt;&gt;317)*($M$7:$M$456&lt;=$N317)*($N$7:$N$456&gt;=$M317))&gt;0,"⚠ Çakışma","OK")))</f>
        <v/>
      </c>
      <c r="Q317" s="37" t="str">
        <f aca="false">IF($A317&lt;&gt;"Seçildi","",IF(OR($L317="",$I317="",$M317=""),"",IF(SUMPRODUCT(($A$7:$A$456="Seçildi")*($L$7:$L$456=$L317)*($I$7:$I$456=$I317)*(ROW($A$7:$A$456)&lt;&gt;317)*($M$7:$M$456&lt;=$N317)*($N$7:$N$456&gt;=$M317))&gt;0,"⚠ Çakışma","OK")))</f>
        <v/>
      </c>
      <c r="R317" s="37" t="str">
        <f aca="false">IF($A317&lt;&gt;"Seçildi","",IF(OR($D317="",$I317="",$M317=""),"",IF(SUMPRODUCT(($A$7:$A$456="Seçildi")*($D$7:$D$456=$D317)*($I$7:$I$456=$I317)*(ROW($A$7:$A$456)&lt;&gt;317)*($M$7:$M$456&lt;=$N317)*($N$7:$N$456&gt;=$M317))&gt;0,"⚠ Çakışma","OK")))</f>
        <v/>
      </c>
      <c r="S317" s="37"/>
      <c r="T317" s="37" t="str">
        <f aca="false">IF(OR($A317&lt;&gt;"Seçildi",AND($I317="",$J317="")),"",IF(OR($O317&lt;&gt;"",$P317="⚠ Çakışma",$Q317="⚠ Çakışma",$R317="⚠ Çakışma"),"⚠ Kontrol Et","✓ Uygun"))</f>
        <v/>
      </c>
    </row>
    <row r="318" customFormat="false" ht="13.5" hidden="false" customHeight="true" outlineLevel="0" collapsed="false">
      <c r="A318" s="37" t="str">
        <f aca="false">'1-Ders Havuzu'!K106</f>
        <v>Seçilmedi</v>
      </c>
      <c r="B318" s="37" t="str">
        <f aca="false">IF($A318="Seçildi",IF('1-Ders Havuzu'!C106="","",'1-Ders Havuzu'!C106),"")</f>
        <v/>
      </c>
      <c r="C318" s="38" t="str">
        <f aca="false">IF($A318="Seçildi",IF('1-Ders Havuzu'!D106="","",'1-Ders Havuzu'!D106),"")</f>
        <v/>
      </c>
      <c r="D318" s="37" t="str">
        <f aca="false">IF($A318="Seçildi",IF('1-Ders Havuzu'!B106="","",'1-Ders Havuzu'!B106),"")</f>
        <v/>
      </c>
      <c r="E318" s="37" t="str">
        <f aca="false">IF($A318="Seçildi",IF('1-Ders Havuzu'!A106="","",'1-Ders Havuzu'!A106),"")</f>
        <v/>
      </c>
      <c r="F318" s="37" t="str">
        <f aca="false">IF($A318="Seçildi",IF('1-Ders Havuzu'!H106="","",'1-Ders Havuzu'!H106),"")</f>
        <v/>
      </c>
      <c r="G318" s="37" t="str">
        <f aca="false">IF($A318="Seçildi",IF('2-Ders-Öğr.Elemanı Eşleştirme'!H106="","",'2-Ders-Öğr.Elemanı Eşleştirme'!H106),"")</f>
        <v/>
      </c>
      <c r="H318" s="39" t="n">
        <v>3</v>
      </c>
      <c r="I318" s="36"/>
      <c r="J318" s="36"/>
      <c r="K318" s="36"/>
      <c r="L318" s="36"/>
      <c r="M318" s="37" t="str">
        <f aca="false">IF($J318="","",MATCH($J318,{"08.00";"09.00";"10.00";"11.00";"12.00";"13.00";"14.00";"15.00";"16.00";"17.00"},0))</f>
        <v/>
      </c>
      <c r="N318" s="37" t="str">
        <f aca="false">IF(OR($M318="",$K318=""),"",$M318+$K318-1)</f>
        <v/>
      </c>
      <c r="O318" s="37" t="str">
        <f aca="false">IF($A318&lt;&gt;"Seçildi","",IF(OR($M318="",$N318=""),"",IF($N318&gt;10,"⚠ Saat Taşıyor","")))</f>
        <v/>
      </c>
      <c r="P318" s="37" t="str">
        <f aca="false">IF($A318&lt;&gt;"Seçildi","",IF(OR($G318="",$I318="",$M318=""),"",IF(SUMPRODUCT(($A$7:$A$456="Seçildi")*($G$7:$G$456=$G318)*($I$7:$I$456=$I318)*(ROW($A$7:$A$456)&lt;&gt;318)*($M$7:$M$456&lt;=$N318)*($N$7:$N$456&gt;=$M318))&gt;0,"⚠ Çakışma","OK")))</f>
        <v/>
      </c>
      <c r="Q318" s="37" t="str">
        <f aca="false">IF($A318&lt;&gt;"Seçildi","",IF(OR($L318="",$I318="",$M318=""),"",IF(SUMPRODUCT(($A$7:$A$456="Seçildi")*($L$7:$L$456=$L318)*($I$7:$I$456=$I318)*(ROW($A$7:$A$456)&lt;&gt;318)*($M$7:$M$456&lt;=$N318)*($N$7:$N$456&gt;=$M318))&gt;0,"⚠ Çakışma","OK")))</f>
        <v/>
      </c>
      <c r="R318" s="37" t="str">
        <f aca="false">IF($A318&lt;&gt;"Seçildi","",IF(OR($D318="",$I318="",$M318=""),"",IF(SUMPRODUCT(($A$7:$A$456="Seçildi")*($D$7:$D$456=$D318)*($I$7:$I$456=$I318)*(ROW($A$7:$A$456)&lt;&gt;318)*($M$7:$M$456&lt;=$N318)*($N$7:$N$456&gt;=$M318))&gt;0,"⚠ Çakışma","OK")))</f>
        <v/>
      </c>
      <c r="S318" s="37"/>
      <c r="T318" s="37" t="str">
        <f aca="false">IF(OR($A318&lt;&gt;"Seçildi",AND($I318="",$J318="")),"",IF(OR($O318&lt;&gt;"",$P318="⚠ Çakışma",$Q318="⚠ Çakışma",$R318="⚠ Çakışma"),"⚠ Kontrol Et","✓ Uygun"))</f>
        <v/>
      </c>
    </row>
    <row r="319" customFormat="false" ht="13.5" hidden="false" customHeight="true" outlineLevel="0" collapsed="false">
      <c r="A319" s="33" t="str">
        <f aca="false">'1-Ders Havuzu'!K107</f>
        <v>Seçilmedi</v>
      </c>
      <c r="B319" s="33" t="str">
        <f aca="false">IF($A319="Seçildi",IF('1-Ders Havuzu'!C107="","",'1-Ders Havuzu'!C107),"")</f>
        <v/>
      </c>
      <c r="C319" s="34" t="str">
        <f aca="false">IF($A319="Seçildi",IF('1-Ders Havuzu'!D107="","",'1-Ders Havuzu'!D107),"")</f>
        <v/>
      </c>
      <c r="D319" s="33" t="str">
        <f aca="false">IF($A319="Seçildi",IF('1-Ders Havuzu'!B107="","",'1-Ders Havuzu'!B107),"")</f>
        <v/>
      </c>
      <c r="E319" s="33" t="str">
        <f aca="false">IF($A319="Seçildi",IF('1-Ders Havuzu'!A107="","",'1-Ders Havuzu'!A107),"")</f>
        <v/>
      </c>
      <c r="F319" s="33" t="str">
        <f aca="false">IF($A319="Seçildi",IF('1-Ders Havuzu'!H107="","",'1-Ders Havuzu'!H107),"")</f>
        <v/>
      </c>
      <c r="G319" s="33" t="str">
        <f aca="false">IF($A319="Seçildi",IF('2-Ders-Öğr.Elemanı Eşleştirme'!H107="","",'2-Ders-Öğr.Elemanı Eşleştirme'!H107),"")</f>
        <v/>
      </c>
      <c r="H319" s="35" t="n">
        <v>1</v>
      </c>
      <c r="I319" s="36"/>
      <c r="J319" s="36"/>
      <c r="K319" s="36"/>
      <c r="L319" s="36"/>
      <c r="M319" s="33" t="str">
        <f aca="false">IF($J319="","",MATCH($J319,{"08.00";"09.00";"10.00";"11.00";"12.00";"13.00";"14.00";"15.00";"16.00";"17.00"},0))</f>
        <v/>
      </c>
      <c r="N319" s="33" t="str">
        <f aca="false">IF(OR($M319="",$K319=""),"",$M319+$K319-1)</f>
        <v/>
      </c>
      <c r="O319" s="33" t="str">
        <f aca="false">IF($A319&lt;&gt;"Seçildi","",IF(OR($M319="",$N319=""),"",IF($N319&gt;10,"⚠ Saat Taşıyor","")))</f>
        <v/>
      </c>
      <c r="P319" s="33" t="str">
        <f aca="false">IF($A319&lt;&gt;"Seçildi","",IF(OR($G319="",$I319="",$M319=""),"",IF(SUMPRODUCT(($A$7:$A$456="Seçildi")*($G$7:$G$456=$G319)*($I$7:$I$456=$I319)*(ROW($A$7:$A$456)&lt;&gt;319)*($M$7:$M$456&lt;=$N319)*($N$7:$N$456&gt;=$M319))&gt;0,"⚠ Çakışma","OK")))</f>
        <v/>
      </c>
      <c r="Q319" s="33" t="str">
        <f aca="false">IF($A319&lt;&gt;"Seçildi","",IF(OR($L319="",$I319="",$M319=""),"",IF(SUMPRODUCT(($A$7:$A$456="Seçildi")*($L$7:$L$456=$L319)*($I$7:$I$456=$I319)*(ROW($A$7:$A$456)&lt;&gt;319)*($M$7:$M$456&lt;=$N319)*($N$7:$N$456&gt;=$M319))&gt;0,"⚠ Çakışma","OK")))</f>
        <v/>
      </c>
      <c r="R319" s="33" t="str">
        <f aca="false">IF($A319&lt;&gt;"Seçildi","",IF(OR($D319="",$I319="",$M319=""),"",IF(SUMPRODUCT(($A$7:$A$456="Seçildi")*($D$7:$D$456=$D319)*($I$7:$I$456=$I319)*(ROW($A$7:$A$456)&lt;&gt;319)*($M$7:$M$456&lt;=$N319)*($N$7:$N$456&gt;=$M319))&gt;0,"⚠ Çakışma","OK")))</f>
        <v/>
      </c>
      <c r="S319" s="33" t="str">
        <f aca="false">IF($A319&lt;&gt;"Seçildi","",IF(SUM($K319,$K320,$K321)&lt;&gt;$F319,"⚠ Dağılım: "&amp;SUM($K319:$K321)&amp;"/"&amp;$F319&amp;" saat","✓ Tamam"))</f>
        <v/>
      </c>
      <c r="T319" s="33" t="str">
        <f aca="false">IF($A319&lt;&gt;"Seçildi","",IF(OR($O319&lt;&gt;"",$P319="⚠ Çakışma",$Q319="⚠ Çakışma",$R319="⚠ Çakışma",LEFT($S319&amp;" ",1)="⚠"),"⚠ Kontrol Et","✓ Uygun"))</f>
        <v/>
      </c>
    </row>
    <row r="320" customFormat="false" ht="13.5" hidden="false" customHeight="true" outlineLevel="0" collapsed="false">
      <c r="A320" s="33" t="str">
        <f aca="false">'1-Ders Havuzu'!K107</f>
        <v>Seçilmedi</v>
      </c>
      <c r="B320" s="33" t="str">
        <f aca="false">IF($A320="Seçildi",IF('1-Ders Havuzu'!C107="","",'1-Ders Havuzu'!C107),"")</f>
        <v/>
      </c>
      <c r="C320" s="34" t="str">
        <f aca="false">IF($A320="Seçildi",IF('1-Ders Havuzu'!D107="","",'1-Ders Havuzu'!D107),"")</f>
        <v/>
      </c>
      <c r="D320" s="33" t="str">
        <f aca="false">IF($A320="Seçildi",IF('1-Ders Havuzu'!B107="","",'1-Ders Havuzu'!B107),"")</f>
        <v/>
      </c>
      <c r="E320" s="33" t="str">
        <f aca="false">IF($A320="Seçildi",IF('1-Ders Havuzu'!A107="","",'1-Ders Havuzu'!A107),"")</f>
        <v/>
      </c>
      <c r="F320" s="33" t="str">
        <f aca="false">IF($A320="Seçildi",IF('1-Ders Havuzu'!H107="","",'1-Ders Havuzu'!H107),"")</f>
        <v/>
      </c>
      <c r="G320" s="33" t="str">
        <f aca="false">IF($A320="Seçildi",IF('2-Ders-Öğr.Elemanı Eşleştirme'!H107="","",'2-Ders-Öğr.Elemanı Eşleştirme'!H107),"")</f>
        <v/>
      </c>
      <c r="H320" s="35" t="n">
        <v>2</v>
      </c>
      <c r="I320" s="36"/>
      <c r="J320" s="36"/>
      <c r="K320" s="36"/>
      <c r="L320" s="36"/>
      <c r="M320" s="33" t="str">
        <f aca="false">IF($J320="","",MATCH($J320,{"08.00";"09.00";"10.00";"11.00";"12.00";"13.00";"14.00";"15.00";"16.00";"17.00"},0))</f>
        <v/>
      </c>
      <c r="N320" s="33" t="str">
        <f aca="false">IF(OR($M320="",$K320=""),"",$M320+$K320-1)</f>
        <v/>
      </c>
      <c r="O320" s="33" t="str">
        <f aca="false">IF($A320&lt;&gt;"Seçildi","",IF(OR($M320="",$N320=""),"",IF($N320&gt;10,"⚠ Saat Taşıyor","")))</f>
        <v/>
      </c>
      <c r="P320" s="33" t="str">
        <f aca="false">IF($A320&lt;&gt;"Seçildi","",IF(OR($G320="",$I320="",$M320=""),"",IF(SUMPRODUCT(($A$7:$A$456="Seçildi")*($G$7:$G$456=$G320)*($I$7:$I$456=$I320)*(ROW($A$7:$A$456)&lt;&gt;320)*($M$7:$M$456&lt;=$N320)*($N$7:$N$456&gt;=$M320))&gt;0,"⚠ Çakışma","OK")))</f>
        <v/>
      </c>
      <c r="Q320" s="33" t="str">
        <f aca="false">IF($A320&lt;&gt;"Seçildi","",IF(OR($L320="",$I320="",$M320=""),"",IF(SUMPRODUCT(($A$7:$A$456="Seçildi")*($L$7:$L$456=$L320)*($I$7:$I$456=$I320)*(ROW($A$7:$A$456)&lt;&gt;320)*($M$7:$M$456&lt;=$N320)*($N$7:$N$456&gt;=$M320))&gt;0,"⚠ Çakışma","OK")))</f>
        <v/>
      </c>
      <c r="R320" s="33" t="str">
        <f aca="false">IF($A320&lt;&gt;"Seçildi","",IF(OR($D320="",$I320="",$M320=""),"",IF(SUMPRODUCT(($A$7:$A$456="Seçildi")*($D$7:$D$456=$D320)*($I$7:$I$456=$I320)*(ROW($A$7:$A$456)&lt;&gt;320)*($M$7:$M$456&lt;=$N320)*($N$7:$N$456&gt;=$M320))&gt;0,"⚠ Çakışma","OK")))</f>
        <v/>
      </c>
      <c r="S320" s="33"/>
      <c r="T320" s="33" t="str">
        <f aca="false">IF(OR($A320&lt;&gt;"Seçildi",AND($I320="",$J320="")),"",IF(OR($O320&lt;&gt;"",$P320="⚠ Çakışma",$Q320="⚠ Çakışma",$R320="⚠ Çakışma"),"⚠ Kontrol Et","✓ Uygun"))</f>
        <v/>
      </c>
    </row>
    <row r="321" customFormat="false" ht="13.5" hidden="false" customHeight="true" outlineLevel="0" collapsed="false">
      <c r="A321" s="33" t="str">
        <f aca="false">'1-Ders Havuzu'!K107</f>
        <v>Seçilmedi</v>
      </c>
      <c r="B321" s="33" t="str">
        <f aca="false">IF($A321="Seçildi",IF('1-Ders Havuzu'!C107="","",'1-Ders Havuzu'!C107),"")</f>
        <v/>
      </c>
      <c r="C321" s="34" t="str">
        <f aca="false">IF($A321="Seçildi",IF('1-Ders Havuzu'!D107="","",'1-Ders Havuzu'!D107),"")</f>
        <v/>
      </c>
      <c r="D321" s="33" t="str">
        <f aca="false">IF($A321="Seçildi",IF('1-Ders Havuzu'!B107="","",'1-Ders Havuzu'!B107),"")</f>
        <v/>
      </c>
      <c r="E321" s="33" t="str">
        <f aca="false">IF($A321="Seçildi",IF('1-Ders Havuzu'!A107="","",'1-Ders Havuzu'!A107),"")</f>
        <v/>
      </c>
      <c r="F321" s="33" t="str">
        <f aca="false">IF($A321="Seçildi",IF('1-Ders Havuzu'!H107="","",'1-Ders Havuzu'!H107),"")</f>
        <v/>
      </c>
      <c r="G321" s="33" t="str">
        <f aca="false">IF($A321="Seçildi",IF('2-Ders-Öğr.Elemanı Eşleştirme'!H107="","",'2-Ders-Öğr.Elemanı Eşleştirme'!H107),"")</f>
        <v/>
      </c>
      <c r="H321" s="35" t="n">
        <v>3</v>
      </c>
      <c r="I321" s="36"/>
      <c r="J321" s="36"/>
      <c r="K321" s="36"/>
      <c r="L321" s="36"/>
      <c r="M321" s="33" t="str">
        <f aca="false">IF($J321="","",MATCH($J321,{"08.00";"09.00";"10.00";"11.00";"12.00";"13.00";"14.00";"15.00";"16.00";"17.00"},0))</f>
        <v/>
      </c>
      <c r="N321" s="33" t="str">
        <f aca="false">IF(OR($M321="",$K321=""),"",$M321+$K321-1)</f>
        <v/>
      </c>
      <c r="O321" s="33" t="str">
        <f aca="false">IF($A321&lt;&gt;"Seçildi","",IF(OR($M321="",$N321=""),"",IF($N321&gt;10,"⚠ Saat Taşıyor","")))</f>
        <v/>
      </c>
      <c r="P321" s="33" t="str">
        <f aca="false">IF($A321&lt;&gt;"Seçildi","",IF(OR($G321="",$I321="",$M321=""),"",IF(SUMPRODUCT(($A$7:$A$456="Seçildi")*($G$7:$G$456=$G321)*($I$7:$I$456=$I321)*(ROW($A$7:$A$456)&lt;&gt;321)*($M$7:$M$456&lt;=$N321)*($N$7:$N$456&gt;=$M321))&gt;0,"⚠ Çakışma","OK")))</f>
        <v/>
      </c>
      <c r="Q321" s="33" t="str">
        <f aca="false">IF($A321&lt;&gt;"Seçildi","",IF(OR($L321="",$I321="",$M321=""),"",IF(SUMPRODUCT(($A$7:$A$456="Seçildi")*($L$7:$L$456=$L321)*($I$7:$I$456=$I321)*(ROW($A$7:$A$456)&lt;&gt;321)*($M$7:$M$456&lt;=$N321)*($N$7:$N$456&gt;=$M321))&gt;0,"⚠ Çakışma","OK")))</f>
        <v/>
      </c>
      <c r="R321" s="33" t="str">
        <f aca="false">IF($A321&lt;&gt;"Seçildi","",IF(OR($D321="",$I321="",$M321=""),"",IF(SUMPRODUCT(($A$7:$A$456="Seçildi")*($D$7:$D$456=$D321)*($I$7:$I$456=$I321)*(ROW($A$7:$A$456)&lt;&gt;321)*($M$7:$M$456&lt;=$N321)*($N$7:$N$456&gt;=$M321))&gt;0,"⚠ Çakışma","OK")))</f>
        <v/>
      </c>
      <c r="S321" s="33"/>
      <c r="T321" s="33" t="str">
        <f aca="false">IF(OR($A321&lt;&gt;"Seçildi",AND($I321="",$J321="")),"",IF(OR($O321&lt;&gt;"",$P321="⚠ Çakışma",$Q321="⚠ Çakışma",$R321="⚠ Çakışma"),"⚠ Kontrol Et","✓ Uygun"))</f>
        <v/>
      </c>
    </row>
    <row r="322" customFormat="false" ht="13.5" hidden="false" customHeight="true" outlineLevel="0" collapsed="false">
      <c r="A322" s="37" t="n">
        <f aca="false">'1-Ders Havuzu'!K108</f>
        <v>0</v>
      </c>
      <c r="B322" s="37" t="str">
        <f aca="false">IF($A322="Seçildi",IF('1-Ders Havuzu'!C108="","",'1-Ders Havuzu'!C108),"")</f>
        <v/>
      </c>
      <c r="C322" s="38" t="str">
        <f aca="false">IF($A322="Seçildi",IF('1-Ders Havuzu'!D108="","",'1-Ders Havuzu'!D108),"")</f>
        <v/>
      </c>
      <c r="D322" s="37" t="str">
        <f aca="false">IF($A322="Seçildi",IF('1-Ders Havuzu'!B108="","",'1-Ders Havuzu'!B108),"")</f>
        <v/>
      </c>
      <c r="E322" s="37" t="str">
        <f aca="false">IF($A322="Seçildi",IF('1-Ders Havuzu'!A108="","",'1-Ders Havuzu'!A108),"")</f>
        <v/>
      </c>
      <c r="F322" s="37" t="str">
        <f aca="false">IF($A322="Seçildi",IF('1-Ders Havuzu'!H108="","",'1-Ders Havuzu'!H108),"")</f>
        <v/>
      </c>
      <c r="G322" s="37" t="str">
        <f aca="false">IF($A322="Seçildi",IF('2-Ders-Öğr.Elemanı Eşleştirme'!H108="","",'2-Ders-Öğr.Elemanı Eşleştirme'!H108),"")</f>
        <v/>
      </c>
      <c r="H322" s="39" t="n">
        <v>1</v>
      </c>
      <c r="I322" s="36"/>
      <c r="J322" s="36"/>
      <c r="K322" s="36"/>
      <c r="L322" s="36"/>
      <c r="M322" s="37" t="str">
        <f aca="false">IF($J322="","",MATCH($J322,{"08.00";"09.00";"10.00";"11.00";"12.00";"13.00";"14.00";"15.00";"16.00";"17.00"},0))</f>
        <v/>
      </c>
      <c r="N322" s="37" t="str">
        <f aca="false">IF(OR($M322="",$K322=""),"",$M322+$K322-1)</f>
        <v/>
      </c>
      <c r="O322" s="37" t="str">
        <f aca="false">IF($A322&lt;&gt;"Seçildi","",IF(OR($M322="",$N322=""),"",IF($N322&gt;10,"⚠ Saat Taşıyor","")))</f>
        <v/>
      </c>
      <c r="P322" s="37" t="str">
        <f aca="false">IF($A322&lt;&gt;"Seçildi","",IF(OR($G322="",$I322="",$M322=""),"",IF(SUMPRODUCT(($A$7:$A$456="Seçildi")*($G$7:$G$456=$G322)*($I$7:$I$456=$I322)*(ROW($A$7:$A$456)&lt;&gt;322)*($M$7:$M$456&lt;=$N322)*($N$7:$N$456&gt;=$M322))&gt;0,"⚠ Çakışma","OK")))</f>
        <v/>
      </c>
      <c r="Q322" s="37" t="str">
        <f aca="false">IF($A322&lt;&gt;"Seçildi","",IF(OR($L322="",$I322="",$M322=""),"",IF(SUMPRODUCT(($A$7:$A$456="Seçildi")*($L$7:$L$456=$L322)*($I$7:$I$456=$I322)*(ROW($A$7:$A$456)&lt;&gt;322)*($M$7:$M$456&lt;=$N322)*($N$7:$N$456&gt;=$M322))&gt;0,"⚠ Çakışma","OK")))</f>
        <v/>
      </c>
      <c r="R322" s="37" t="str">
        <f aca="false">IF($A322&lt;&gt;"Seçildi","",IF(OR($D322="",$I322="",$M322=""),"",IF(SUMPRODUCT(($A$7:$A$456="Seçildi")*($D$7:$D$456=$D322)*($I$7:$I$456=$I322)*(ROW($A$7:$A$456)&lt;&gt;322)*($M$7:$M$456&lt;=$N322)*($N$7:$N$456&gt;=$M322))&gt;0,"⚠ Çakışma","OK")))</f>
        <v/>
      </c>
      <c r="S322" s="37" t="str">
        <f aca="false">IF($A322&lt;&gt;"Seçildi","",IF(SUM($K322,$K323,$K324)&lt;&gt;$F322,"⚠ Dağılım: "&amp;SUM($K322:$K324)&amp;"/"&amp;$F322&amp;" saat","✓ Tamam"))</f>
        <v/>
      </c>
      <c r="T322" s="37" t="str">
        <f aca="false">IF($A322&lt;&gt;"Seçildi","",IF(OR($O322&lt;&gt;"",$P322="⚠ Çakışma",$Q322="⚠ Çakışma",$R322="⚠ Çakışma",LEFT($S322&amp;" ",1)="⚠"),"⚠ Kontrol Et","✓ Uygun"))</f>
        <v/>
      </c>
    </row>
    <row r="323" customFormat="false" ht="13.5" hidden="false" customHeight="true" outlineLevel="0" collapsed="false">
      <c r="A323" s="37" t="n">
        <f aca="false">'1-Ders Havuzu'!K108</f>
        <v>0</v>
      </c>
      <c r="B323" s="37" t="str">
        <f aca="false">IF($A323="Seçildi",IF('1-Ders Havuzu'!C108="","",'1-Ders Havuzu'!C108),"")</f>
        <v/>
      </c>
      <c r="C323" s="38" t="str">
        <f aca="false">IF($A323="Seçildi",IF('1-Ders Havuzu'!D108="","",'1-Ders Havuzu'!D108),"")</f>
        <v/>
      </c>
      <c r="D323" s="37" t="str">
        <f aca="false">IF($A323="Seçildi",IF('1-Ders Havuzu'!B108="","",'1-Ders Havuzu'!B108),"")</f>
        <v/>
      </c>
      <c r="E323" s="37" t="str">
        <f aca="false">IF($A323="Seçildi",IF('1-Ders Havuzu'!A108="","",'1-Ders Havuzu'!A108),"")</f>
        <v/>
      </c>
      <c r="F323" s="37" t="str">
        <f aca="false">IF($A323="Seçildi",IF('1-Ders Havuzu'!H108="","",'1-Ders Havuzu'!H108),"")</f>
        <v/>
      </c>
      <c r="G323" s="37" t="str">
        <f aca="false">IF($A323="Seçildi",IF('2-Ders-Öğr.Elemanı Eşleştirme'!H108="","",'2-Ders-Öğr.Elemanı Eşleştirme'!H108),"")</f>
        <v/>
      </c>
      <c r="H323" s="39" t="n">
        <v>2</v>
      </c>
      <c r="I323" s="36"/>
      <c r="J323" s="36"/>
      <c r="K323" s="36"/>
      <c r="L323" s="36"/>
      <c r="M323" s="37" t="str">
        <f aca="false">IF($J323="","",MATCH($J323,{"08.00";"09.00";"10.00";"11.00";"12.00";"13.00";"14.00";"15.00";"16.00";"17.00"},0))</f>
        <v/>
      </c>
      <c r="N323" s="37" t="str">
        <f aca="false">IF(OR($M323="",$K323=""),"",$M323+$K323-1)</f>
        <v/>
      </c>
      <c r="O323" s="37" t="str">
        <f aca="false">IF($A323&lt;&gt;"Seçildi","",IF(OR($M323="",$N323=""),"",IF($N323&gt;10,"⚠ Saat Taşıyor","")))</f>
        <v/>
      </c>
      <c r="P323" s="37" t="str">
        <f aca="false">IF($A323&lt;&gt;"Seçildi","",IF(OR($G323="",$I323="",$M323=""),"",IF(SUMPRODUCT(($A$7:$A$456="Seçildi")*($G$7:$G$456=$G323)*($I$7:$I$456=$I323)*(ROW($A$7:$A$456)&lt;&gt;323)*($M$7:$M$456&lt;=$N323)*($N$7:$N$456&gt;=$M323))&gt;0,"⚠ Çakışma","OK")))</f>
        <v/>
      </c>
      <c r="Q323" s="37" t="str">
        <f aca="false">IF($A323&lt;&gt;"Seçildi","",IF(OR($L323="",$I323="",$M323=""),"",IF(SUMPRODUCT(($A$7:$A$456="Seçildi")*($L$7:$L$456=$L323)*($I$7:$I$456=$I323)*(ROW($A$7:$A$456)&lt;&gt;323)*($M$7:$M$456&lt;=$N323)*($N$7:$N$456&gt;=$M323))&gt;0,"⚠ Çakışma","OK")))</f>
        <v/>
      </c>
      <c r="R323" s="37" t="str">
        <f aca="false">IF($A323&lt;&gt;"Seçildi","",IF(OR($D323="",$I323="",$M323=""),"",IF(SUMPRODUCT(($A$7:$A$456="Seçildi")*($D$7:$D$456=$D323)*($I$7:$I$456=$I323)*(ROW($A$7:$A$456)&lt;&gt;323)*($M$7:$M$456&lt;=$N323)*($N$7:$N$456&gt;=$M323))&gt;0,"⚠ Çakışma","OK")))</f>
        <v/>
      </c>
      <c r="S323" s="37"/>
      <c r="T323" s="37" t="str">
        <f aca="false">IF(OR($A323&lt;&gt;"Seçildi",AND($I323="",$J323="")),"",IF(OR($O323&lt;&gt;"",$P323="⚠ Çakışma",$Q323="⚠ Çakışma",$R323="⚠ Çakışma"),"⚠ Kontrol Et","✓ Uygun"))</f>
        <v/>
      </c>
    </row>
    <row r="324" customFormat="false" ht="13.5" hidden="false" customHeight="true" outlineLevel="0" collapsed="false">
      <c r="A324" s="37" t="n">
        <f aca="false">'1-Ders Havuzu'!K108</f>
        <v>0</v>
      </c>
      <c r="B324" s="37" t="str">
        <f aca="false">IF($A324="Seçildi",IF('1-Ders Havuzu'!C108="","",'1-Ders Havuzu'!C108),"")</f>
        <v/>
      </c>
      <c r="C324" s="38" t="str">
        <f aca="false">IF($A324="Seçildi",IF('1-Ders Havuzu'!D108="","",'1-Ders Havuzu'!D108),"")</f>
        <v/>
      </c>
      <c r="D324" s="37" t="str">
        <f aca="false">IF($A324="Seçildi",IF('1-Ders Havuzu'!B108="","",'1-Ders Havuzu'!B108),"")</f>
        <v/>
      </c>
      <c r="E324" s="37" t="str">
        <f aca="false">IF($A324="Seçildi",IF('1-Ders Havuzu'!A108="","",'1-Ders Havuzu'!A108),"")</f>
        <v/>
      </c>
      <c r="F324" s="37" t="str">
        <f aca="false">IF($A324="Seçildi",IF('1-Ders Havuzu'!H108="","",'1-Ders Havuzu'!H108),"")</f>
        <v/>
      </c>
      <c r="G324" s="37" t="str">
        <f aca="false">IF($A324="Seçildi",IF('2-Ders-Öğr.Elemanı Eşleştirme'!H108="","",'2-Ders-Öğr.Elemanı Eşleştirme'!H108),"")</f>
        <v/>
      </c>
      <c r="H324" s="39" t="n">
        <v>3</v>
      </c>
      <c r="I324" s="36"/>
      <c r="J324" s="36"/>
      <c r="K324" s="36"/>
      <c r="L324" s="36"/>
      <c r="M324" s="37" t="str">
        <f aca="false">IF($J324="","",MATCH($J324,{"08.00";"09.00";"10.00";"11.00";"12.00";"13.00";"14.00";"15.00";"16.00";"17.00"},0))</f>
        <v/>
      </c>
      <c r="N324" s="37" t="str">
        <f aca="false">IF(OR($M324="",$K324=""),"",$M324+$K324-1)</f>
        <v/>
      </c>
      <c r="O324" s="37" t="str">
        <f aca="false">IF($A324&lt;&gt;"Seçildi","",IF(OR($M324="",$N324=""),"",IF($N324&gt;10,"⚠ Saat Taşıyor","")))</f>
        <v/>
      </c>
      <c r="P324" s="37" t="str">
        <f aca="false">IF($A324&lt;&gt;"Seçildi","",IF(OR($G324="",$I324="",$M324=""),"",IF(SUMPRODUCT(($A$7:$A$456="Seçildi")*($G$7:$G$456=$G324)*($I$7:$I$456=$I324)*(ROW($A$7:$A$456)&lt;&gt;324)*($M$7:$M$456&lt;=$N324)*($N$7:$N$456&gt;=$M324))&gt;0,"⚠ Çakışma","OK")))</f>
        <v/>
      </c>
      <c r="Q324" s="37" t="str">
        <f aca="false">IF($A324&lt;&gt;"Seçildi","",IF(OR($L324="",$I324="",$M324=""),"",IF(SUMPRODUCT(($A$7:$A$456="Seçildi")*($L$7:$L$456=$L324)*($I$7:$I$456=$I324)*(ROW($A$7:$A$456)&lt;&gt;324)*($M$7:$M$456&lt;=$N324)*($N$7:$N$456&gt;=$M324))&gt;0,"⚠ Çakışma","OK")))</f>
        <v/>
      </c>
      <c r="R324" s="37" t="str">
        <f aca="false">IF($A324&lt;&gt;"Seçildi","",IF(OR($D324="",$I324="",$M324=""),"",IF(SUMPRODUCT(($A$7:$A$456="Seçildi")*($D$7:$D$456=$D324)*($I$7:$I$456=$I324)*(ROW($A$7:$A$456)&lt;&gt;324)*($M$7:$M$456&lt;=$N324)*($N$7:$N$456&gt;=$M324))&gt;0,"⚠ Çakışma","OK")))</f>
        <v/>
      </c>
      <c r="S324" s="37"/>
      <c r="T324" s="37" t="str">
        <f aca="false">IF(OR($A324&lt;&gt;"Seçildi",AND($I324="",$J324="")),"",IF(OR($O324&lt;&gt;"",$P324="⚠ Çakışma",$Q324="⚠ Çakışma",$R324="⚠ Çakışma"),"⚠ Kontrol Et","✓ Uygun"))</f>
        <v/>
      </c>
    </row>
    <row r="325" customFormat="false" ht="13.5" hidden="false" customHeight="true" outlineLevel="0" collapsed="false">
      <c r="A325" s="33" t="n">
        <f aca="false">'1-Ders Havuzu'!K109</f>
        <v>0</v>
      </c>
      <c r="B325" s="33" t="str">
        <f aca="false">IF($A325="Seçildi",IF('1-Ders Havuzu'!C109="","",'1-Ders Havuzu'!C109),"")</f>
        <v/>
      </c>
      <c r="C325" s="34" t="str">
        <f aca="false">IF($A325="Seçildi",IF('1-Ders Havuzu'!D109="","",'1-Ders Havuzu'!D109),"")</f>
        <v/>
      </c>
      <c r="D325" s="33" t="str">
        <f aca="false">IF($A325="Seçildi",IF('1-Ders Havuzu'!B109="","",'1-Ders Havuzu'!B109),"")</f>
        <v/>
      </c>
      <c r="E325" s="33" t="str">
        <f aca="false">IF($A325="Seçildi",IF('1-Ders Havuzu'!A109="","",'1-Ders Havuzu'!A109),"")</f>
        <v/>
      </c>
      <c r="F325" s="33" t="str">
        <f aca="false">IF($A325="Seçildi",IF('1-Ders Havuzu'!H109="","",'1-Ders Havuzu'!H109),"")</f>
        <v/>
      </c>
      <c r="G325" s="33" t="str">
        <f aca="false">IF($A325="Seçildi",IF('2-Ders-Öğr.Elemanı Eşleştirme'!H109="","",'2-Ders-Öğr.Elemanı Eşleştirme'!H109),"")</f>
        <v/>
      </c>
      <c r="H325" s="35" t="n">
        <v>1</v>
      </c>
      <c r="I325" s="36"/>
      <c r="J325" s="36"/>
      <c r="K325" s="36"/>
      <c r="L325" s="36"/>
      <c r="M325" s="33" t="str">
        <f aca="false">IF($J325="","",MATCH($J325,{"08.00";"09.00";"10.00";"11.00";"12.00";"13.00";"14.00";"15.00";"16.00";"17.00"},0))</f>
        <v/>
      </c>
      <c r="N325" s="33" t="str">
        <f aca="false">IF(OR($M325="",$K325=""),"",$M325+$K325-1)</f>
        <v/>
      </c>
      <c r="O325" s="33" t="str">
        <f aca="false">IF($A325&lt;&gt;"Seçildi","",IF(OR($M325="",$N325=""),"",IF($N325&gt;10,"⚠ Saat Taşıyor","")))</f>
        <v/>
      </c>
      <c r="P325" s="33" t="str">
        <f aca="false">IF($A325&lt;&gt;"Seçildi","",IF(OR($G325="",$I325="",$M325=""),"",IF(SUMPRODUCT(($A$7:$A$456="Seçildi")*($G$7:$G$456=$G325)*($I$7:$I$456=$I325)*(ROW($A$7:$A$456)&lt;&gt;325)*($M$7:$M$456&lt;=$N325)*($N$7:$N$456&gt;=$M325))&gt;0,"⚠ Çakışma","OK")))</f>
        <v/>
      </c>
      <c r="Q325" s="33" t="str">
        <f aca="false">IF($A325&lt;&gt;"Seçildi","",IF(OR($L325="",$I325="",$M325=""),"",IF(SUMPRODUCT(($A$7:$A$456="Seçildi")*($L$7:$L$456=$L325)*($I$7:$I$456=$I325)*(ROW($A$7:$A$456)&lt;&gt;325)*($M$7:$M$456&lt;=$N325)*($N$7:$N$456&gt;=$M325))&gt;0,"⚠ Çakışma","OK")))</f>
        <v/>
      </c>
      <c r="R325" s="33" t="str">
        <f aca="false">IF($A325&lt;&gt;"Seçildi","",IF(OR($D325="",$I325="",$M325=""),"",IF(SUMPRODUCT(($A$7:$A$456="Seçildi")*($D$7:$D$456=$D325)*($I$7:$I$456=$I325)*(ROW($A$7:$A$456)&lt;&gt;325)*($M$7:$M$456&lt;=$N325)*($N$7:$N$456&gt;=$M325))&gt;0,"⚠ Çakışma","OK")))</f>
        <v/>
      </c>
      <c r="S325" s="33" t="str">
        <f aca="false">IF($A325&lt;&gt;"Seçildi","",IF(SUM($K325,$K326,$K327)&lt;&gt;$F325,"⚠ Dağılım: "&amp;SUM($K325:$K327)&amp;"/"&amp;$F325&amp;" saat","✓ Tamam"))</f>
        <v/>
      </c>
      <c r="T325" s="33" t="str">
        <f aca="false">IF($A325&lt;&gt;"Seçildi","",IF(OR($O325&lt;&gt;"",$P325="⚠ Çakışma",$Q325="⚠ Çakışma",$R325="⚠ Çakışma",LEFT($S325&amp;" ",1)="⚠"),"⚠ Kontrol Et","✓ Uygun"))</f>
        <v/>
      </c>
    </row>
    <row r="326" customFormat="false" ht="13.5" hidden="false" customHeight="true" outlineLevel="0" collapsed="false">
      <c r="A326" s="33" t="n">
        <f aca="false">'1-Ders Havuzu'!K109</f>
        <v>0</v>
      </c>
      <c r="B326" s="33" t="str">
        <f aca="false">IF($A326="Seçildi",IF('1-Ders Havuzu'!C109="","",'1-Ders Havuzu'!C109),"")</f>
        <v/>
      </c>
      <c r="C326" s="34" t="str">
        <f aca="false">IF($A326="Seçildi",IF('1-Ders Havuzu'!D109="","",'1-Ders Havuzu'!D109),"")</f>
        <v/>
      </c>
      <c r="D326" s="33" t="str">
        <f aca="false">IF($A326="Seçildi",IF('1-Ders Havuzu'!B109="","",'1-Ders Havuzu'!B109),"")</f>
        <v/>
      </c>
      <c r="E326" s="33" t="str">
        <f aca="false">IF($A326="Seçildi",IF('1-Ders Havuzu'!A109="","",'1-Ders Havuzu'!A109),"")</f>
        <v/>
      </c>
      <c r="F326" s="33" t="str">
        <f aca="false">IF($A326="Seçildi",IF('1-Ders Havuzu'!H109="","",'1-Ders Havuzu'!H109),"")</f>
        <v/>
      </c>
      <c r="G326" s="33" t="str">
        <f aca="false">IF($A326="Seçildi",IF('2-Ders-Öğr.Elemanı Eşleştirme'!H109="","",'2-Ders-Öğr.Elemanı Eşleştirme'!H109),"")</f>
        <v/>
      </c>
      <c r="H326" s="35" t="n">
        <v>2</v>
      </c>
      <c r="I326" s="36"/>
      <c r="J326" s="36"/>
      <c r="K326" s="36"/>
      <c r="L326" s="36"/>
      <c r="M326" s="33" t="str">
        <f aca="false">IF($J326="","",MATCH($J326,{"08.00";"09.00";"10.00";"11.00";"12.00";"13.00";"14.00";"15.00";"16.00";"17.00"},0))</f>
        <v/>
      </c>
      <c r="N326" s="33" t="str">
        <f aca="false">IF(OR($M326="",$K326=""),"",$M326+$K326-1)</f>
        <v/>
      </c>
      <c r="O326" s="33" t="str">
        <f aca="false">IF($A326&lt;&gt;"Seçildi","",IF(OR($M326="",$N326=""),"",IF($N326&gt;10,"⚠ Saat Taşıyor","")))</f>
        <v/>
      </c>
      <c r="P326" s="33" t="str">
        <f aca="false">IF($A326&lt;&gt;"Seçildi","",IF(OR($G326="",$I326="",$M326=""),"",IF(SUMPRODUCT(($A$7:$A$456="Seçildi")*($G$7:$G$456=$G326)*($I$7:$I$456=$I326)*(ROW($A$7:$A$456)&lt;&gt;326)*($M$7:$M$456&lt;=$N326)*($N$7:$N$456&gt;=$M326))&gt;0,"⚠ Çakışma","OK")))</f>
        <v/>
      </c>
      <c r="Q326" s="33" t="str">
        <f aca="false">IF($A326&lt;&gt;"Seçildi","",IF(OR($L326="",$I326="",$M326=""),"",IF(SUMPRODUCT(($A$7:$A$456="Seçildi")*($L$7:$L$456=$L326)*($I$7:$I$456=$I326)*(ROW($A$7:$A$456)&lt;&gt;326)*($M$7:$M$456&lt;=$N326)*($N$7:$N$456&gt;=$M326))&gt;0,"⚠ Çakışma","OK")))</f>
        <v/>
      </c>
      <c r="R326" s="33" t="str">
        <f aca="false">IF($A326&lt;&gt;"Seçildi","",IF(OR($D326="",$I326="",$M326=""),"",IF(SUMPRODUCT(($A$7:$A$456="Seçildi")*($D$7:$D$456=$D326)*($I$7:$I$456=$I326)*(ROW($A$7:$A$456)&lt;&gt;326)*($M$7:$M$456&lt;=$N326)*($N$7:$N$456&gt;=$M326))&gt;0,"⚠ Çakışma","OK")))</f>
        <v/>
      </c>
      <c r="S326" s="33"/>
      <c r="T326" s="33" t="str">
        <f aca="false">IF(OR($A326&lt;&gt;"Seçildi",AND($I326="",$J326="")),"",IF(OR($O326&lt;&gt;"",$P326="⚠ Çakışma",$Q326="⚠ Çakışma",$R326="⚠ Çakışma"),"⚠ Kontrol Et","✓ Uygun"))</f>
        <v/>
      </c>
    </row>
    <row r="327" customFormat="false" ht="13.5" hidden="false" customHeight="true" outlineLevel="0" collapsed="false">
      <c r="A327" s="33" t="n">
        <f aca="false">'1-Ders Havuzu'!K109</f>
        <v>0</v>
      </c>
      <c r="B327" s="33" t="str">
        <f aca="false">IF($A327="Seçildi",IF('1-Ders Havuzu'!C109="","",'1-Ders Havuzu'!C109),"")</f>
        <v/>
      </c>
      <c r="C327" s="34" t="str">
        <f aca="false">IF($A327="Seçildi",IF('1-Ders Havuzu'!D109="","",'1-Ders Havuzu'!D109),"")</f>
        <v/>
      </c>
      <c r="D327" s="33" t="str">
        <f aca="false">IF($A327="Seçildi",IF('1-Ders Havuzu'!B109="","",'1-Ders Havuzu'!B109),"")</f>
        <v/>
      </c>
      <c r="E327" s="33" t="str">
        <f aca="false">IF($A327="Seçildi",IF('1-Ders Havuzu'!A109="","",'1-Ders Havuzu'!A109),"")</f>
        <v/>
      </c>
      <c r="F327" s="33" t="str">
        <f aca="false">IF($A327="Seçildi",IF('1-Ders Havuzu'!H109="","",'1-Ders Havuzu'!H109),"")</f>
        <v/>
      </c>
      <c r="G327" s="33" t="str">
        <f aca="false">IF($A327="Seçildi",IF('2-Ders-Öğr.Elemanı Eşleştirme'!H109="","",'2-Ders-Öğr.Elemanı Eşleştirme'!H109),"")</f>
        <v/>
      </c>
      <c r="H327" s="35" t="n">
        <v>3</v>
      </c>
      <c r="I327" s="36"/>
      <c r="J327" s="36"/>
      <c r="K327" s="36"/>
      <c r="L327" s="36"/>
      <c r="M327" s="33" t="str">
        <f aca="false">IF($J327="","",MATCH($J327,{"08.00";"09.00";"10.00";"11.00";"12.00";"13.00";"14.00";"15.00";"16.00";"17.00"},0))</f>
        <v/>
      </c>
      <c r="N327" s="33" t="str">
        <f aca="false">IF(OR($M327="",$K327=""),"",$M327+$K327-1)</f>
        <v/>
      </c>
      <c r="O327" s="33" t="str">
        <f aca="false">IF($A327&lt;&gt;"Seçildi","",IF(OR($M327="",$N327=""),"",IF($N327&gt;10,"⚠ Saat Taşıyor","")))</f>
        <v/>
      </c>
      <c r="P327" s="33" t="str">
        <f aca="false">IF($A327&lt;&gt;"Seçildi","",IF(OR($G327="",$I327="",$M327=""),"",IF(SUMPRODUCT(($A$7:$A$456="Seçildi")*($G$7:$G$456=$G327)*($I$7:$I$456=$I327)*(ROW($A$7:$A$456)&lt;&gt;327)*($M$7:$M$456&lt;=$N327)*($N$7:$N$456&gt;=$M327))&gt;0,"⚠ Çakışma","OK")))</f>
        <v/>
      </c>
      <c r="Q327" s="33" t="str">
        <f aca="false">IF($A327&lt;&gt;"Seçildi","",IF(OR($L327="",$I327="",$M327=""),"",IF(SUMPRODUCT(($A$7:$A$456="Seçildi")*($L$7:$L$456=$L327)*($I$7:$I$456=$I327)*(ROW($A$7:$A$456)&lt;&gt;327)*($M$7:$M$456&lt;=$N327)*($N$7:$N$456&gt;=$M327))&gt;0,"⚠ Çakışma","OK")))</f>
        <v/>
      </c>
      <c r="R327" s="33" t="str">
        <f aca="false">IF($A327&lt;&gt;"Seçildi","",IF(OR($D327="",$I327="",$M327=""),"",IF(SUMPRODUCT(($A$7:$A$456="Seçildi")*($D$7:$D$456=$D327)*($I$7:$I$456=$I327)*(ROW($A$7:$A$456)&lt;&gt;327)*($M$7:$M$456&lt;=$N327)*($N$7:$N$456&gt;=$M327))&gt;0,"⚠ Çakışma","OK")))</f>
        <v/>
      </c>
      <c r="S327" s="33"/>
      <c r="T327" s="33" t="str">
        <f aca="false">IF(OR($A327&lt;&gt;"Seçildi",AND($I327="",$J327="")),"",IF(OR($O327&lt;&gt;"",$P327="⚠ Çakışma",$Q327="⚠ Çakışma",$R327="⚠ Çakışma"),"⚠ Kontrol Et","✓ Uygun"))</f>
        <v/>
      </c>
    </row>
    <row r="328" customFormat="false" ht="13.5" hidden="false" customHeight="true" outlineLevel="0" collapsed="false">
      <c r="A328" s="37" t="n">
        <f aca="false">'1-Ders Havuzu'!K110</f>
        <v>0</v>
      </c>
      <c r="B328" s="37" t="str">
        <f aca="false">IF($A328="Seçildi",IF('1-Ders Havuzu'!C110="","",'1-Ders Havuzu'!C110),"")</f>
        <v/>
      </c>
      <c r="C328" s="38" t="str">
        <f aca="false">IF($A328="Seçildi",IF('1-Ders Havuzu'!D110="","",'1-Ders Havuzu'!D110),"")</f>
        <v/>
      </c>
      <c r="D328" s="37" t="str">
        <f aca="false">IF($A328="Seçildi",IF('1-Ders Havuzu'!B110="","",'1-Ders Havuzu'!B110),"")</f>
        <v/>
      </c>
      <c r="E328" s="37" t="str">
        <f aca="false">IF($A328="Seçildi",IF('1-Ders Havuzu'!A110="","",'1-Ders Havuzu'!A110),"")</f>
        <v/>
      </c>
      <c r="F328" s="37" t="str">
        <f aca="false">IF($A328="Seçildi",IF('1-Ders Havuzu'!H110="","",'1-Ders Havuzu'!H110),"")</f>
        <v/>
      </c>
      <c r="G328" s="37" t="str">
        <f aca="false">IF($A328="Seçildi",IF('2-Ders-Öğr.Elemanı Eşleştirme'!H110="","",'2-Ders-Öğr.Elemanı Eşleştirme'!H110),"")</f>
        <v/>
      </c>
      <c r="H328" s="39" t="n">
        <v>1</v>
      </c>
      <c r="I328" s="36"/>
      <c r="J328" s="36"/>
      <c r="K328" s="36"/>
      <c r="L328" s="36"/>
      <c r="M328" s="37" t="str">
        <f aca="false">IF($J328="","",MATCH($J328,{"08.00";"09.00";"10.00";"11.00";"12.00";"13.00";"14.00";"15.00";"16.00";"17.00"},0))</f>
        <v/>
      </c>
      <c r="N328" s="37" t="str">
        <f aca="false">IF(OR($M328="",$K328=""),"",$M328+$K328-1)</f>
        <v/>
      </c>
      <c r="O328" s="37" t="str">
        <f aca="false">IF($A328&lt;&gt;"Seçildi","",IF(OR($M328="",$N328=""),"",IF($N328&gt;10,"⚠ Saat Taşıyor","")))</f>
        <v/>
      </c>
      <c r="P328" s="37" t="str">
        <f aca="false">IF($A328&lt;&gt;"Seçildi","",IF(OR($G328="",$I328="",$M328=""),"",IF(SUMPRODUCT(($A$7:$A$456="Seçildi")*($G$7:$G$456=$G328)*($I$7:$I$456=$I328)*(ROW($A$7:$A$456)&lt;&gt;328)*($M$7:$M$456&lt;=$N328)*($N$7:$N$456&gt;=$M328))&gt;0,"⚠ Çakışma","OK")))</f>
        <v/>
      </c>
      <c r="Q328" s="37" t="str">
        <f aca="false">IF($A328&lt;&gt;"Seçildi","",IF(OR($L328="",$I328="",$M328=""),"",IF(SUMPRODUCT(($A$7:$A$456="Seçildi")*($L$7:$L$456=$L328)*($I$7:$I$456=$I328)*(ROW($A$7:$A$456)&lt;&gt;328)*($M$7:$M$456&lt;=$N328)*($N$7:$N$456&gt;=$M328))&gt;0,"⚠ Çakışma","OK")))</f>
        <v/>
      </c>
      <c r="R328" s="37" t="str">
        <f aca="false">IF($A328&lt;&gt;"Seçildi","",IF(OR($D328="",$I328="",$M328=""),"",IF(SUMPRODUCT(($A$7:$A$456="Seçildi")*($D$7:$D$456=$D328)*($I$7:$I$456=$I328)*(ROW($A$7:$A$456)&lt;&gt;328)*($M$7:$M$456&lt;=$N328)*($N$7:$N$456&gt;=$M328))&gt;0,"⚠ Çakışma","OK")))</f>
        <v/>
      </c>
      <c r="S328" s="37" t="str">
        <f aca="false">IF($A328&lt;&gt;"Seçildi","",IF(SUM($K328,$K329,$K330)&lt;&gt;$F328,"⚠ Dağılım: "&amp;SUM($K328:$K330)&amp;"/"&amp;$F328&amp;" saat","✓ Tamam"))</f>
        <v/>
      </c>
      <c r="T328" s="37" t="str">
        <f aca="false">IF($A328&lt;&gt;"Seçildi","",IF(OR($O328&lt;&gt;"",$P328="⚠ Çakışma",$Q328="⚠ Çakışma",$R328="⚠ Çakışma",LEFT($S328&amp;" ",1)="⚠"),"⚠ Kontrol Et","✓ Uygun"))</f>
        <v/>
      </c>
    </row>
    <row r="329" customFormat="false" ht="13.5" hidden="false" customHeight="true" outlineLevel="0" collapsed="false">
      <c r="A329" s="37" t="n">
        <f aca="false">'1-Ders Havuzu'!K110</f>
        <v>0</v>
      </c>
      <c r="B329" s="37" t="str">
        <f aca="false">IF($A329="Seçildi",IF('1-Ders Havuzu'!C110="","",'1-Ders Havuzu'!C110),"")</f>
        <v/>
      </c>
      <c r="C329" s="38" t="str">
        <f aca="false">IF($A329="Seçildi",IF('1-Ders Havuzu'!D110="","",'1-Ders Havuzu'!D110),"")</f>
        <v/>
      </c>
      <c r="D329" s="37" t="str">
        <f aca="false">IF($A329="Seçildi",IF('1-Ders Havuzu'!B110="","",'1-Ders Havuzu'!B110),"")</f>
        <v/>
      </c>
      <c r="E329" s="37" t="str">
        <f aca="false">IF($A329="Seçildi",IF('1-Ders Havuzu'!A110="","",'1-Ders Havuzu'!A110),"")</f>
        <v/>
      </c>
      <c r="F329" s="37" t="str">
        <f aca="false">IF($A329="Seçildi",IF('1-Ders Havuzu'!H110="","",'1-Ders Havuzu'!H110),"")</f>
        <v/>
      </c>
      <c r="G329" s="37" t="str">
        <f aca="false">IF($A329="Seçildi",IF('2-Ders-Öğr.Elemanı Eşleştirme'!H110="","",'2-Ders-Öğr.Elemanı Eşleştirme'!H110),"")</f>
        <v/>
      </c>
      <c r="H329" s="39" t="n">
        <v>2</v>
      </c>
      <c r="I329" s="36"/>
      <c r="J329" s="36"/>
      <c r="K329" s="36"/>
      <c r="L329" s="36"/>
      <c r="M329" s="37" t="str">
        <f aca="false">IF($J329="","",MATCH($J329,{"08.00";"09.00";"10.00";"11.00";"12.00";"13.00";"14.00";"15.00";"16.00";"17.00"},0))</f>
        <v/>
      </c>
      <c r="N329" s="37" t="str">
        <f aca="false">IF(OR($M329="",$K329=""),"",$M329+$K329-1)</f>
        <v/>
      </c>
      <c r="O329" s="37" t="str">
        <f aca="false">IF($A329&lt;&gt;"Seçildi","",IF(OR($M329="",$N329=""),"",IF($N329&gt;10,"⚠ Saat Taşıyor","")))</f>
        <v/>
      </c>
      <c r="P329" s="37" t="str">
        <f aca="false">IF($A329&lt;&gt;"Seçildi","",IF(OR($G329="",$I329="",$M329=""),"",IF(SUMPRODUCT(($A$7:$A$456="Seçildi")*($G$7:$G$456=$G329)*($I$7:$I$456=$I329)*(ROW($A$7:$A$456)&lt;&gt;329)*($M$7:$M$456&lt;=$N329)*($N$7:$N$456&gt;=$M329))&gt;0,"⚠ Çakışma","OK")))</f>
        <v/>
      </c>
      <c r="Q329" s="37" t="str">
        <f aca="false">IF($A329&lt;&gt;"Seçildi","",IF(OR($L329="",$I329="",$M329=""),"",IF(SUMPRODUCT(($A$7:$A$456="Seçildi")*($L$7:$L$456=$L329)*($I$7:$I$456=$I329)*(ROW($A$7:$A$456)&lt;&gt;329)*($M$7:$M$456&lt;=$N329)*($N$7:$N$456&gt;=$M329))&gt;0,"⚠ Çakışma","OK")))</f>
        <v/>
      </c>
      <c r="R329" s="37" t="str">
        <f aca="false">IF($A329&lt;&gt;"Seçildi","",IF(OR($D329="",$I329="",$M329=""),"",IF(SUMPRODUCT(($A$7:$A$456="Seçildi")*($D$7:$D$456=$D329)*($I$7:$I$456=$I329)*(ROW($A$7:$A$456)&lt;&gt;329)*($M$7:$M$456&lt;=$N329)*($N$7:$N$456&gt;=$M329))&gt;0,"⚠ Çakışma","OK")))</f>
        <v/>
      </c>
      <c r="S329" s="37"/>
      <c r="T329" s="37" t="str">
        <f aca="false">IF(OR($A329&lt;&gt;"Seçildi",AND($I329="",$J329="")),"",IF(OR($O329&lt;&gt;"",$P329="⚠ Çakışma",$Q329="⚠ Çakışma",$R329="⚠ Çakışma"),"⚠ Kontrol Et","✓ Uygun"))</f>
        <v/>
      </c>
    </row>
    <row r="330" customFormat="false" ht="13.5" hidden="false" customHeight="true" outlineLevel="0" collapsed="false">
      <c r="A330" s="37" t="n">
        <f aca="false">'1-Ders Havuzu'!K110</f>
        <v>0</v>
      </c>
      <c r="B330" s="37" t="str">
        <f aca="false">IF($A330="Seçildi",IF('1-Ders Havuzu'!C110="","",'1-Ders Havuzu'!C110),"")</f>
        <v/>
      </c>
      <c r="C330" s="38" t="str">
        <f aca="false">IF($A330="Seçildi",IF('1-Ders Havuzu'!D110="","",'1-Ders Havuzu'!D110),"")</f>
        <v/>
      </c>
      <c r="D330" s="37" t="str">
        <f aca="false">IF($A330="Seçildi",IF('1-Ders Havuzu'!B110="","",'1-Ders Havuzu'!B110),"")</f>
        <v/>
      </c>
      <c r="E330" s="37" t="str">
        <f aca="false">IF($A330="Seçildi",IF('1-Ders Havuzu'!A110="","",'1-Ders Havuzu'!A110),"")</f>
        <v/>
      </c>
      <c r="F330" s="37" t="str">
        <f aca="false">IF($A330="Seçildi",IF('1-Ders Havuzu'!H110="","",'1-Ders Havuzu'!H110),"")</f>
        <v/>
      </c>
      <c r="G330" s="37" t="str">
        <f aca="false">IF($A330="Seçildi",IF('2-Ders-Öğr.Elemanı Eşleştirme'!H110="","",'2-Ders-Öğr.Elemanı Eşleştirme'!H110),"")</f>
        <v/>
      </c>
      <c r="H330" s="39" t="n">
        <v>3</v>
      </c>
      <c r="I330" s="36"/>
      <c r="J330" s="36"/>
      <c r="K330" s="36"/>
      <c r="L330" s="36"/>
      <c r="M330" s="37" t="str">
        <f aca="false">IF($J330="","",MATCH($J330,{"08.00";"09.00";"10.00";"11.00";"12.00";"13.00";"14.00";"15.00";"16.00";"17.00"},0))</f>
        <v/>
      </c>
      <c r="N330" s="37" t="str">
        <f aca="false">IF(OR($M330="",$K330=""),"",$M330+$K330-1)</f>
        <v/>
      </c>
      <c r="O330" s="37" t="str">
        <f aca="false">IF($A330&lt;&gt;"Seçildi","",IF(OR($M330="",$N330=""),"",IF($N330&gt;10,"⚠ Saat Taşıyor","")))</f>
        <v/>
      </c>
      <c r="P330" s="37" t="str">
        <f aca="false">IF($A330&lt;&gt;"Seçildi","",IF(OR($G330="",$I330="",$M330=""),"",IF(SUMPRODUCT(($A$7:$A$456="Seçildi")*($G$7:$G$456=$G330)*($I$7:$I$456=$I330)*(ROW($A$7:$A$456)&lt;&gt;330)*($M$7:$M$456&lt;=$N330)*($N$7:$N$456&gt;=$M330))&gt;0,"⚠ Çakışma","OK")))</f>
        <v/>
      </c>
      <c r="Q330" s="37" t="str">
        <f aca="false">IF($A330&lt;&gt;"Seçildi","",IF(OR($L330="",$I330="",$M330=""),"",IF(SUMPRODUCT(($A$7:$A$456="Seçildi")*($L$7:$L$456=$L330)*($I$7:$I$456=$I330)*(ROW($A$7:$A$456)&lt;&gt;330)*($M$7:$M$456&lt;=$N330)*($N$7:$N$456&gt;=$M330))&gt;0,"⚠ Çakışma","OK")))</f>
        <v/>
      </c>
      <c r="R330" s="37" t="str">
        <f aca="false">IF($A330&lt;&gt;"Seçildi","",IF(OR($D330="",$I330="",$M330=""),"",IF(SUMPRODUCT(($A$7:$A$456="Seçildi")*($D$7:$D$456=$D330)*($I$7:$I$456=$I330)*(ROW($A$7:$A$456)&lt;&gt;330)*($M$7:$M$456&lt;=$N330)*($N$7:$N$456&gt;=$M330))&gt;0,"⚠ Çakışma","OK")))</f>
        <v/>
      </c>
      <c r="S330" s="37"/>
      <c r="T330" s="37" t="str">
        <f aca="false">IF(OR($A330&lt;&gt;"Seçildi",AND($I330="",$J330="")),"",IF(OR($O330&lt;&gt;"",$P330="⚠ Çakışma",$Q330="⚠ Çakışma",$R330="⚠ Çakışma"),"⚠ Kontrol Et","✓ Uygun"))</f>
        <v/>
      </c>
    </row>
    <row r="331" customFormat="false" ht="13.5" hidden="false" customHeight="true" outlineLevel="0" collapsed="false">
      <c r="A331" s="33" t="n">
        <f aca="false">'1-Ders Havuzu'!K111</f>
        <v>0</v>
      </c>
      <c r="B331" s="33" t="str">
        <f aca="false">IF($A331="Seçildi",IF('1-Ders Havuzu'!C111="","",'1-Ders Havuzu'!C111),"")</f>
        <v/>
      </c>
      <c r="C331" s="34" t="str">
        <f aca="false">IF($A331="Seçildi",IF('1-Ders Havuzu'!D111="","",'1-Ders Havuzu'!D111),"")</f>
        <v/>
      </c>
      <c r="D331" s="33" t="str">
        <f aca="false">IF($A331="Seçildi",IF('1-Ders Havuzu'!B111="","",'1-Ders Havuzu'!B111),"")</f>
        <v/>
      </c>
      <c r="E331" s="33" t="str">
        <f aca="false">IF($A331="Seçildi",IF('1-Ders Havuzu'!A111="","",'1-Ders Havuzu'!A111),"")</f>
        <v/>
      </c>
      <c r="F331" s="33" t="str">
        <f aca="false">IF($A331="Seçildi",IF('1-Ders Havuzu'!H111="","",'1-Ders Havuzu'!H111),"")</f>
        <v/>
      </c>
      <c r="G331" s="33" t="str">
        <f aca="false">IF($A331="Seçildi",IF('2-Ders-Öğr.Elemanı Eşleştirme'!H111="","",'2-Ders-Öğr.Elemanı Eşleştirme'!H111),"")</f>
        <v/>
      </c>
      <c r="H331" s="35" t="n">
        <v>1</v>
      </c>
      <c r="I331" s="36"/>
      <c r="J331" s="36"/>
      <c r="K331" s="36"/>
      <c r="L331" s="36"/>
      <c r="M331" s="33" t="str">
        <f aca="false">IF($J331="","",MATCH($J331,{"08.00";"09.00";"10.00";"11.00";"12.00";"13.00";"14.00";"15.00";"16.00";"17.00"},0))</f>
        <v/>
      </c>
      <c r="N331" s="33" t="str">
        <f aca="false">IF(OR($M331="",$K331=""),"",$M331+$K331-1)</f>
        <v/>
      </c>
      <c r="O331" s="33" t="str">
        <f aca="false">IF($A331&lt;&gt;"Seçildi","",IF(OR($M331="",$N331=""),"",IF($N331&gt;10,"⚠ Saat Taşıyor","")))</f>
        <v/>
      </c>
      <c r="P331" s="33" t="str">
        <f aca="false">IF($A331&lt;&gt;"Seçildi","",IF(OR($G331="",$I331="",$M331=""),"",IF(SUMPRODUCT(($A$7:$A$456="Seçildi")*($G$7:$G$456=$G331)*($I$7:$I$456=$I331)*(ROW($A$7:$A$456)&lt;&gt;331)*($M$7:$M$456&lt;=$N331)*($N$7:$N$456&gt;=$M331))&gt;0,"⚠ Çakışma","OK")))</f>
        <v/>
      </c>
      <c r="Q331" s="33" t="str">
        <f aca="false">IF($A331&lt;&gt;"Seçildi","",IF(OR($L331="",$I331="",$M331=""),"",IF(SUMPRODUCT(($A$7:$A$456="Seçildi")*($L$7:$L$456=$L331)*($I$7:$I$456=$I331)*(ROW($A$7:$A$456)&lt;&gt;331)*($M$7:$M$456&lt;=$N331)*($N$7:$N$456&gt;=$M331))&gt;0,"⚠ Çakışma","OK")))</f>
        <v/>
      </c>
      <c r="R331" s="33" t="str">
        <f aca="false">IF($A331&lt;&gt;"Seçildi","",IF(OR($D331="",$I331="",$M331=""),"",IF(SUMPRODUCT(($A$7:$A$456="Seçildi")*($D$7:$D$456=$D331)*($I$7:$I$456=$I331)*(ROW($A$7:$A$456)&lt;&gt;331)*($M$7:$M$456&lt;=$N331)*($N$7:$N$456&gt;=$M331))&gt;0,"⚠ Çakışma","OK")))</f>
        <v/>
      </c>
      <c r="S331" s="33" t="str">
        <f aca="false">IF($A331&lt;&gt;"Seçildi","",IF(SUM($K331,$K332,$K333)&lt;&gt;$F331,"⚠ Dağılım: "&amp;SUM($K331:$K333)&amp;"/"&amp;$F331&amp;" saat","✓ Tamam"))</f>
        <v/>
      </c>
      <c r="T331" s="33" t="str">
        <f aca="false">IF($A331&lt;&gt;"Seçildi","",IF(OR($O331&lt;&gt;"",$P331="⚠ Çakışma",$Q331="⚠ Çakışma",$R331="⚠ Çakışma",LEFT($S331&amp;" ",1)="⚠"),"⚠ Kontrol Et","✓ Uygun"))</f>
        <v/>
      </c>
    </row>
    <row r="332" customFormat="false" ht="13.5" hidden="false" customHeight="true" outlineLevel="0" collapsed="false">
      <c r="A332" s="33" t="n">
        <f aca="false">'1-Ders Havuzu'!K111</f>
        <v>0</v>
      </c>
      <c r="B332" s="33" t="str">
        <f aca="false">IF($A332="Seçildi",IF('1-Ders Havuzu'!C111="","",'1-Ders Havuzu'!C111),"")</f>
        <v/>
      </c>
      <c r="C332" s="34" t="str">
        <f aca="false">IF($A332="Seçildi",IF('1-Ders Havuzu'!D111="","",'1-Ders Havuzu'!D111),"")</f>
        <v/>
      </c>
      <c r="D332" s="33" t="str">
        <f aca="false">IF($A332="Seçildi",IF('1-Ders Havuzu'!B111="","",'1-Ders Havuzu'!B111),"")</f>
        <v/>
      </c>
      <c r="E332" s="33" t="str">
        <f aca="false">IF($A332="Seçildi",IF('1-Ders Havuzu'!A111="","",'1-Ders Havuzu'!A111),"")</f>
        <v/>
      </c>
      <c r="F332" s="33" t="str">
        <f aca="false">IF($A332="Seçildi",IF('1-Ders Havuzu'!H111="","",'1-Ders Havuzu'!H111),"")</f>
        <v/>
      </c>
      <c r="G332" s="33" t="str">
        <f aca="false">IF($A332="Seçildi",IF('2-Ders-Öğr.Elemanı Eşleştirme'!H111="","",'2-Ders-Öğr.Elemanı Eşleştirme'!H111),"")</f>
        <v/>
      </c>
      <c r="H332" s="35" t="n">
        <v>2</v>
      </c>
      <c r="I332" s="36"/>
      <c r="J332" s="36"/>
      <c r="K332" s="36"/>
      <c r="L332" s="36"/>
      <c r="M332" s="33" t="str">
        <f aca="false">IF($J332="","",MATCH($J332,{"08.00";"09.00";"10.00";"11.00";"12.00";"13.00";"14.00";"15.00";"16.00";"17.00"},0))</f>
        <v/>
      </c>
      <c r="N332" s="33" t="str">
        <f aca="false">IF(OR($M332="",$K332=""),"",$M332+$K332-1)</f>
        <v/>
      </c>
      <c r="O332" s="33" t="str">
        <f aca="false">IF($A332&lt;&gt;"Seçildi","",IF(OR($M332="",$N332=""),"",IF($N332&gt;10,"⚠ Saat Taşıyor","")))</f>
        <v/>
      </c>
      <c r="P332" s="33" t="str">
        <f aca="false">IF($A332&lt;&gt;"Seçildi","",IF(OR($G332="",$I332="",$M332=""),"",IF(SUMPRODUCT(($A$7:$A$456="Seçildi")*($G$7:$G$456=$G332)*($I$7:$I$456=$I332)*(ROW($A$7:$A$456)&lt;&gt;332)*($M$7:$M$456&lt;=$N332)*($N$7:$N$456&gt;=$M332))&gt;0,"⚠ Çakışma","OK")))</f>
        <v/>
      </c>
      <c r="Q332" s="33" t="str">
        <f aca="false">IF($A332&lt;&gt;"Seçildi","",IF(OR($L332="",$I332="",$M332=""),"",IF(SUMPRODUCT(($A$7:$A$456="Seçildi")*($L$7:$L$456=$L332)*($I$7:$I$456=$I332)*(ROW($A$7:$A$456)&lt;&gt;332)*($M$7:$M$456&lt;=$N332)*($N$7:$N$456&gt;=$M332))&gt;0,"⚠ Çakışma","OK")))</f>
        <v/>
      </c>
      <c r="R332" s="33" t="str">
        <f aca="false">IF($A332&lt;&gt;"Seçildi","",IF(OR($D332="",$I332="",$M332=""),"",IF(SUMPRODUCT(($A$7:$A$456="Seçildi")*($D$7:$D$456=$D332)*($I$7:$I$456=$I332)*(ROW($A$7:$A$456)&lt;&gt;332)*($M$7:$M$456&lt;=$N332)*($N$7:$N$456&gt;=$M332))&gt;0,"⚠ Çakışma","OK")))</f>
        <v/>
      </c>
      <c r="S332" s="33"/>
      <c r="T332" s="33" t="str">
        <f aca="false">IF(OR($A332&lt;&gt;"Seçildi",AND($I332="",$J332="")),"",IF(OR($O332&lt;&gt;"",$P332="⚠ Çakışma",$Q332="⚠ Çakışma",$R332="⚠ Çakışma"),"⚠ Kontrol Et","✓ Uygun"))</f>
        <v/>
      </c>
    </row>
    <row r="333" customFormat="false" ht="13.5" hidden="false" customHeight="true" outlineLevel="0" collapsed="false">
      <c r="A333" s="33" t="n">
        <f aca="false">'1-Ders Havuzu'!K111</f>
        <v>0</v>
      </c>
      <c r="B333" s="33" t="str">
        <f aca="false">IF($A333="Seçildi",IF('1-Ders Havuzu'!C111="","",'1-Ders Havuzu'!C111),"")</f>
        <v/>
      </c>
      <c r="C333" s="34" t="str">
        <f aca="false">IF($A333="Seçildi",IF('1-Ders Havuzu'!D111="","",'1-Ders Havuzu'!D111),"")</f>
        <v/>
      </c>
      <c r="D333" s="33" t="str">
        <f aca="false">IF($A333="Seçildi",IF('1-Ders Havuzu'!B111="","",'1-Ders Havuzu'!B111),"")</f>
        <v/>
      </c>
      <c r="E333" s="33" t="str">
        <f aca="false">IF($A333="Seçildi",IF('1-Ders Havuzu'!A111="","",'1-Ders Havuzu'!A111),"")</f>
        <v/>
      </c>
      <c r="F333" s="33" t="str">
        <f aca="false">IF($A333="Seçildi",IF('1-Ders Havuzu'!H111="","",'1-Ders Havuzu'!H111),"")</f>
        <v/>
      </c>
      <c r="G333" s="33" t="str">
        <f aca="false">IF($A333="Seçildi",IF('2-Ders-Öğr.Elemanı Eşleştirme'!H111="","",'2-Ders-Öğr.Elemanı Eşleştirme'!H111),"")</f>
        <v/>
      </c>
      <c r="H333" s="35" t="n">
        <v>3</v>
      </c>
      <c r="I333" s="36"/>
      <c r="J333" s="36"/>
      <c r="K333" s="36"/>
      <c r="L333" s="36"/>
      <c r="M333" s="33" t="str">
        <f aca="false">IF($J333="","",MATCH($J333,{"08.00";"09.00";"10.00";"11.00";"12.00";"13.00";"14.00";"15.00";"16.00";"17.00"},0))</f>
        <v/>
      </c>
      <c r="N333" s="33" t="str">
        <f aca="false">IF(OR($M333="",$K333=""),"",$M333+$K333-1)</f>
        <v/>
      </c>
      <c r="O333" s="33" t="str">
        <f aca="false">IF($A333&lt;&gt;"Seçildi","",IF(OR($M333="",$N333=""),"",IF($N333&gt;10,"⚠ Saat Taşıyor","")))</f>
        <v/>
      </c>
      <c r="P333" s="33" t="str">
        <f aca="false">IF($A333&lt;&gt;"Seçildi","",IF(OR($G333="",$I333="",$M333=""),"",IF(SUMPRODUCT(($A$7:$A$456="Seçildi")*($G$7:$G$456=$G333)*($I$7:$I$456=$I333)*(ROW($A$7:$A$456)&lt;&gt;333)*($M$7:$M$456&lt;=$N333)*($N$7:$N$456&gt;=$M333))&gt;0,"⚠ Çakışma","OK")))</f>
        <v/>
      </c>
      <c r="Q333" s="33" t="str">
        <f aca="false">IF($A333&lt;&gt;"Seçildi","",IF(OR($L333="",$I333="",$M333=""),"",IF(SUMPRODUCT(($A$7:$A$456="Seçildi")*($L$7:$L$456=$L333)*($I$7:$I$456=$I333)*(ROW($A$7:$A$456)&lt;&gt;333)*($M$7:$M$456&lt;=$N333)*($N$7:$N$456&gt;=$M333))&gt;0,"⚠ Çakışma","OK")))</f>
        <v/>
      </c>
      <c r="R333" s="33" t="str">
        <f aca="false">IF($A333&lt;&gt;"Seçildi","",IF(OR($D333="",$I333="",$M333=""),"",IF(SUMPRODUCT(($A$7:$A$456="Seçildi")*($D$7:$D$456=$D333)*($I$7:$I$456=$I333)*(ROW($A$7:$A$456)&lt;&gt;333)*($M$7:$M$456&lt;=$N333)*($N$7:$N$456&gt;=$M333))&gt;0,"⚠ Çakışma","OK")))</f>
        <v/>
      </c>
      <c r="S333" s="33"/>
      <c r="T333" s="33" t="str">
        <f aca="false">IF(OR($A333&lt;&gt;"Seçildi",AND($I333="",$J333="")),"",IF(OR($O333&lt;&gt;"",$P333="⚠ Çakışma",$Q333="⚠ Çakışma",$R333="⚠ Çakışma"),"⚠ Kontrol Et","✓ Uygun"))</f>
        <v/>
      </c>
    </row>
    <row r="334" customFormat="false" ht="13.5" hidden="false" customHeight="true" outlineLevel="0" collapsed="false">
      <c r="A334" s="37" t="n">
        <f aca="false">'1-Ders Havuzu'!K112</f>
        <v>0</v>
      </c>
      <c r="B334" s="37" t="str">
        <f aca="false">IF($A334="Seçildi",IF('1-Ders Havuzu'!C112="","",'1-Ders Havuzu'!C112),"")</f>
        <v/>
      </c>
      <c r="C334" s="38" t="str">
        <f aca="false">IF($A334="Seçildi",IF('1-Ders Havuzu'!D112="","",'1-Ders Havuzu'!D112),"")</f>
        <v/>
      </c>
      <c r="D334" s="37" t="str">
        <f aca="false">IF($A334="Seçildi",IF('1-Ders Havuzu'!B112="","",'1-Ders Havuzu'!B112),"")</f>
        <v/>
      </c>
      <c r="E334" s="37" t="str">
        <f aca="false">IF($A334="Seçildi",IF('1-Ders Havuzu'!A112="","",'1-Ders Havuzu'!A112),"")</f>
        <v/>
      </c>
      <c r="F334" s="37" t="str">
        <f aca="false">IF($A334="Seçildi",IF('1-Ders Havuzu'!H112="","",'1-Ders Havuzu'!H112),"")</f>
        <v/>
      </c>
      <c r="G334" s="37" t="str">
        <f aca="false">IF($A334="Seçildi",IF('2-Ders-Öğr.Elemanı Eşleştirme'!H112="","",'2-Ders-Öğr.Elemanı Eşleştirme'!H112),"")</f>
        <v/>
      </c>
      <c r="H334" s="39" t="n">
        <v>1</v>
      </c>
      <c r="I334" s="36"/>
      <c r="J334" s="36"/>
      <c r="K334" s="36"/>
      <c r="L334" s="36"/>
      <c r="M334" s="37" t="str">
        <f aca="false">IF($J334="","",MATCH($J334,{"08.00";"09.00";"10.00";"11.00";"12.00";"13.00";"14.00";"15.00";"16.00";"17.00"},0))</f>
        <v/>
      </c>
      <c r="N334" s="37" t="str">
        <f aca="false">IF(OR($M334="",$K334=""),"",$M334+$K334-1)</f>
        <v/>
      </c>
      <c r="O334" s="37" t="str">
        <f aca="false">IF($A334&lt;&gt;"Seçildi","",IF(OR($M334="",$N334=""),"",IF($N334&gt;10,"⚠ Saat Taşıyor","")))</f>
        <v/>
      </c>
      <c r="P334" s="37" t="str">
        <f aca="false">IF($A334&lt;&gt;"Seçildi","",IF(OR($G334="",$I334="",$M334=""),"",IF(SUMPRODUCT(($A$7:$A$456="Seçildi")*($G$7:$G$456=$G334)*($I$7:$I$456=$I334)*(ROW($A$7:$A$456)&lt;&gt;334)*($M$7:$M$456&lt;=$N334)*($N$7:$N$456&gt;=$M334))&gt;0,"⚠ Çakışma","OK")))</f>
        <v/>
      </c>
      <c r="Q334" s="37" t="str">
        <f aca="false">IF($A334&lt;&gt;"Seçildi","",IF(OR($L334="",$I334="",$M334=""),"",IF(SUMPRODUCT(($A$7:$A$456="Seçildi")*($L$7:$L$456=$L334)*($I$7:$I$456=$I334)*(ROW($A$7:$A$456)&lt;&gt;334)*($M$7:$M$456&lt;=$N334)*($N$7:$N$456&gt;=$M334))&gt;0,"⚠ Çakışma","OK")))</f>
        <v/>
      </c>
      <c r="R334" s="37" t="str">
        <f aca="false">IF($A334&lt;&gt;"Seçildi","",IF(OR($D334="",$I334="",$M334=""),"",IF(SUMPRODUCT(($A$7:$A$456="Seçildi")*($D$7:$D$456=$D334)*($I$7:$I$456=$I334)*(ROW($A$7:$A$456)&lt;&gt;334)*($M$7:$M$456&lt;=$N334)*($N$7:$N$456&gt;=$M334))&gt;0,"⚠ Çakışma","OK")))</f>
        <v/>
      </c>
      <c r="S334" s="37" t="str">
        <f aca="false">IF($A334&lt;&gt;"Seçildi","",IF(SUM($K334,$K335,$K336)&lt;&gt;$F334,"⚠ Dağılım: "&amp;SUM($K334:$K336)&amp;"/"&amp;$F334&amp;" saat","✓ Tamam"))</f>
        <v/>
      </c>
      <c r="T334" s="37" t="str">
        <f aca="false">IF($A334&lt;&gt;"Seçildi","",IF(OR($O334&lt;&gt;"",$P334="⚠ Çakışma",$Q334="⚠ Çakışma",$R334="⚠ Çakışma",LEFT($S334&amp;" ",1)="⚠"),"⚠ Kontrol Et","✓ Uygun"))</f>
        <v/>
      </c>
    </row>
    <row r="335" customFormat="false" ht="13.5" hidden="false" customHeight="true" outlineLevel="0" collapsed="false">
      <c r="A335" s="37" t="n">
        <f aca="false">'1-Ders Havuzu'!K112</f>
        <v>0</v>
      </c>
      <c r="B335" s="37" t="str">
        <f aca="false">IF($A335="Seçildi",IF('1-Ders Havuzu'!C112="","",'1-Ders Havuzu'!C112),"")</f>
        <v/>
      </c>
      <c r="C335" s="38" t="str">
        <f aca="false">IF($A335="Seçildi",IF('1-Ders Havuzu'!D112="","",'1-Ders Havuzu'!D112),"")</f>
        <v/>
      </c>
      <c r="D335" s="37" t="str">
        <f aca="false">IF($A335="Seçildi",IF('1-Ders Havuzu'!B112="","",'1-Ders Havuzu'!B112),"")</f>
        <v/>
      </c>
      <c r="E335" s="37" t="str">
        <f aca="false">IF($A335="Seçildi",IF('1-Ders Havuzu'!A112="","",'1-Ders Havuzu'!A112),"")</f>
        <v/>
      </c>
      <c r="F335" s="37" t="str">
        <f aca="false">IF($A335="Seçildi",IF('1-Ders Havuzu'!H112="","",'1-Ders Havuzu'!H112),"")</f>
        <v/>
      </c>
      <c r="G335" s="37" t="str">
        <f aca="false">IF($A335="Seçildi",IF('2-Ders-Öğr.Elemanı Eşleştirme'!H112="","",'2-Ders-Öğr.Elemanı Eşleştirme'!H112),"")</f>
        <v/>
      </c>
      <c r="H335" s="39" t="n">
        <v>2</v>
      </c>
      <c r="I335" s="36"/>
      <c r="J335" s="36"/>
      <c r="K335" s="36"/>
      <c r="L335" s="36"/>
      <c r="M335" s="37" t="str">
        <f aca="false">IF($J335="","",MATCH($J335,{"08.00";"09.00";"10.00";"11.00";"12.00";"13.00";"14.00";"15.00";"16.00";"17.00"},0))</f>
        <v/>
      </c>
      <c r="N335" s="37" t="str">
        <f aca="false">IF(OR($M335="",$K335=""),"",$M335+$K335-1)</f>
        <v/>
      </c>
      <c r="O335" s="37" t="str">
        <f aca="false">IF($A335&lt;&gt;"Seçildi","",IF(OR($M335="",$N335=""),"",IF($N335&gt;10,"⚠ Saat Taşıyor","")))</f>
        <v/>
      </c>
      <c r="P335" s="37" t="str">
        <f aca="false">IF($A335&lt;&gt;"Seçildi","",IF(OR($G335="",$I335="",$M335=""),"",IF(SUMPRODUCT(($A$7:$A$456="Seçildi")*($G$7:$G$456=$G335)*($I$7:$I$456=$I335)*(ROW($A$7:$A$456)&lt;&gt;335)*($M$7:$M$456&lt;=$N335)*($N$7:$N$456&gt;=$M335))&gt;0,"⚠ Çakışma","OK")))</f>
        <v/>
      </c>
      <c r="Q335" s="37" t="str">
        <f aca="false">IF($A335&lt;&gt;"Seçildi","",IF(OR($L335="",$I335="",$M335=""),"",IF(SUMPRODUCT(($A$7:$A$456="Seçildi")*($L$7:$L$456=$L335)*($I$7:$I$456=$I335)*(ROW($A$7:$A$456)&lt;&gt;335)*($M$7:$M$456&lt;=$N335)*($N$7:$N$456&gt;=$M335))&gt;0,"⚠ Çakışma","OK")))</f>
        <v/>
      </c>
      <c r="R335" s="37" t="str">
        <f aca="false">IF($A335&lt;&gt;"Seçildi","",IF(OR($D335="",$I335="",$M335=""),"",IF(SUMPRODUCT(($A$7:$A$456="Seçildi")*($D$7:$D$456=$D335)*($I$7:$I$456=$I335)*(ROW($A$7:$A$456)&lt;&gt;335)*($M$7:$M$456&lt;=$N335)*($N$7:$N$456&gt;=$M335))&gt;0,"⚠ Çakışma","OK")))</f>
        <v/>
      </c>
      <c r="S335" s="37"/>
      <c r="T335" s="37" t="str">
        <f aca="false">IF(OR($A335&lt;&gt;"Seçildi",AND($I335="",$J335="")),"",IF(OR($O335&lt;&gt;"",$P335="⚠ Çakışma",$Q335="⚠ Çakışma",$R335="⚠ Çakışma"),"⚠ Kontrol Et","✓ Uygun"))</f>
        <v/>
      </c>
    </row>
    <row r="336" customFormat="false" ht="13.5" hidden="false" customHeight="true" outlineLevel="0" collapsed="false">
      <c r="A336" s="37" t="n">
        <f aca="false">'1-Ders Havuzu'!K112</f>
        <v>0</v>
      </c>
      <c r="B336" s="37" t="str">
        <f aca="false">IF($A336="Seçildi",IF('1-Ders Havuzu'!C112="","",'1-Ders Havuzu'!C112),"")</f>
        <v/>
      </c>
      <c r="C336" s="38" t="str">
        <f aca="false">IF($A336="Seçildi",IF('1-Ders Havuzu'!D112="","",'1-Ders Havuzu'!D112),"")</f>
        <v/>
      </c>
      <c r="D336" s="37" t="str">
        <f aca="false">IF($A336="Seçildi",IF('1-Ders Havuzu'!B112="","",'1-Ders Havuzu'!B112),"")</f>
        <v/>
      </c>
      <c r="E336" s="37" t="str">
        <f aca="false">IF($A336="Seçildi",IF('1-Ders Havuzu'!A112="","",'1-Ders Havuzu'!A112),"")</f>
        <v/>
      </c>
      <c r="F336" s="37" t="str">
        <f aca="false">IF($A336="Seçildi",IF('1-Ders Havuzu'!H112="","",'1-Ders Havuzu'!H112),"")</f>
        <v/>
      </c>
      <c r="G336" s="37" t="str">
        <f aca="false">IF($A336="Seçildi",IF('2-Ders-Öğr.Elemanı Eşleştirme'!H112="","",'2-Ders-Öğr.Elemanı Eşleştirme'!H112),"")</f>
        <v/>
      </c>
      <c r="H336" s="39" t="n">
        <v>3</v>
      </c>
      <c r="I336" s="36"/>
      <c r="J336" s="36"/>
      <c r="K336" s="36"/>
      <c r="L336" s="36"/>
      <c r="M336" s="37" t="str">
        <f aca="false">IF($J336="","",MATCH($J336,{"08.00";"09.00";"10.00";"11.00";"12.00";"13.00";"14.00";"15.00";"16.00";"17.00"},0))</f>
        <v/>
      </c>
      <c r="N336" s="37" t="str">
        <f aca="false">IF(OR($M336="",$K336=""),"",$M336+$K336-1)</f>
        <v/>
      </c>
      <c r="O336" s="37" t="str">
        <f aca="false">IF($A336&lt;&gt;"Seçildi","",IF(OR($M336="",$N336=""),"",IF($N336&gt;10,"⚠ Saat Taşıyor","")))</f>
        <v/>
      </c>
      <c r="P336" s="37" t="str">
        <f aca="false">IF($A336&lt;&gt;"Seçildi","",IF(OR($G336="",$I336="",$M336=""),"",IF(SUMPRODUCT(($A$7:$A$456="Seçildi")*($G$7:$G$456=$G336)*($I$7:$I$456=$I336)*(ROW($A$7:$A$456)&lt;&gt;336)*($M$7:$M$456&lt;=$N336)*($N$7:$N$456&gt;=$M336))&gt;0,"⚠ Çakışma","OK")))</f>
        <v/>
      </c>
      <c r="Q336" s="37" t="str">
        <f aca="false">IF($A336&lt;&gt;"Seçildi","",IF(OR($L336="",$I336="",$M336=""),"",IF(SUMPRODUCT(($A$7:$A$456="Seçildi")*($L$7:$L$456=$L336)*($I$7:$I$456=$I336)*(ROW($A$7:$A$456)&lt;&gt;336)*($M$7:$M$456&lt;=$N336)*($N$7:$N$456&gt;=$M336))&gt;0,"⚠ Çakışma","OK")))</f>
        <v/>
      </c>
      <c r="R336" s="37" t="str">
        <f aca="false">IF($A336&lt;&gt;"Seçildi","",IF(OR($D336="",$I336="",$M336=""),"",IF(SUMPRODUCT(($A$7:$A$456="Seçildi")*($D$7:$D$456=$D336)*($I$7:$I$456=$I336)*(ROW($A$7:$A$456)&lt;&gt;336)*($M$7:$M$456&lt;=$N336)*($N$7:$N$456&gt;=$M336))&gt;0,"⚠ Çakışma","OK")))</f>
        <v/>
      </c>
      <c r="S336" s="37"/>
      <c r="T336" s="37" t="str">
        <f aca="false">IF(OR($A336&lt;&gt;"Seçildi",AND($I336="",$J336="")),"",IF(OR($O336&lt;&gt;"",$P336="⚠ Çakışma",$Q336="⚠ Çakışma",$R336="⚠ Çakışma"),"⚠ Kontrol Et","✓ Uygun"))</f>
        <v/>
      </c>
    </row>
    <row r="337" customFormat="false" ht="13.5" hidden="false" customHeight="true" outlineLevel="0" collapsed="false">
      <c r="A337" s="33" t="n">
        <f aca="false">'1-Ders Havuzu'!K113</f>
        <v>0</v>
      </c>
      <c r="B337" s="33" t="str">
        <f aca="false">IF($A337="Seçildi",IF('1-Ders Havuzu'!C113="","",'1-Ders Havuzu'!C113),"")</f>
        <v/>
      </c>
      <c r="C337" s="34" t="str">
        <f aca="false">IF($A337="Seçildi",IF('1-Ders Havuzu'!D113="","",'1-Ders Havuzu'!D113),"")</f>
        <v/>
      </c>
      <c r="D337" s="33" t="str">
        <f aca="false">IF($A337="Seçildi",IF('1-Ders Havuzu'!B113="","",'1-Ders Havuzu'!B113),"")</f>
        <v/>
      </c>
      <c r="E337" s="33" t="str">
        <f aca="false">IF($A337="Seçildi",IF('1-Ders Havuzu'!A113="","",'1-Ders Havuzu'!A113),"")</f>
        <v/>
      </c>
      <c r="F337" s="33" t="str">
        <f aca="false">IF($A337="Seçildi",IF('1-Ders Havuzu'!H113="","",'1-Ders Havuzu'!H113),"")</f>
        <v/>
      </c>
      <c r="G337" s="33" t="str">
        <f aca="false">IF($A337="Seçildi",IF('2-Ders-Öğr.Elemanı Eşleştirme'!H113="","",'2-Ders-Öğr.Elemanı Eşleştirme'!H113),"")</f>
        <v/>
      </c>
      <c r="H337" s="35" t="n">
        <v>1</v>
      </c>
      <c r="I337" s="36"/>
      <c r="J337" s="36"/>
      <c r="K337" s="36"/>
      <c r="L337" s="36"/>
      <c r="M337" s="33" t="str">
        <f aca="false">IF($J337="","",MATCH($J337,{"08.00";"09.00";"10.00";"11.00";"12.00";"13.00";"14.00";"15.00";"16.00";"17.00"},0))</f>
        <v/>
      </c>
      <c r="N337" s="33" t="str">
        <f aca="false">IF(OR($M337="",$K337=""),"",$M337+$K337-1)</f>
        <v/>
      </c>
      <c r="O337" s="33" t="str">
        <f aca="false">IF($A337&lt;&gt;"Seçildi","",IF(OR($M337="",$N337=""),"",IF($N337&gt;10,"⚠ Saat Taşıyor","")))</f>
        <v/>
      </c>
      <c r="P337" s="33" t="str">
        <f aca="false">IF($A337&lt;&gt;"Seçildi","",IF(OR($G337="",$I337="",$M337=""),"",IF(SUMPRODUCT(($A$7:$A$456="Seçildi")*($G$7:$G$456=$G337)*($I$7:$I$456=$I337)*(ROW($A$7:$A$456)&lt;&gt;337)*($M$7:$M$456&lt;=$N337)*($N$7:$N$456&gt;=$M337))&gt;0,"⚠ Çakışma","OK")))</f>
        <v/>
      </c>
      <c r="Q337" s="33" t="str">
        <f aca="false">IF($A337&lt;&gt;"Seçildi","",IF(OR($L337="",$I337="",$M337=""),"",IF(SUMPRODUCT(($A$7:$A$456="Seçildi")*($L$7:$L$456=$L337)*($I$7:$I$456=$I337)*(ROW($A$7:$A$456)&lt;&gt;337)*($M$7:$M$456&lt;=$N337)*($N$7:$N$456&gt;=$M337))&gt;0,"⚠ Çakışma","OK")))</f>
        <v/>
      </c>
      <c r="R337" s="33" t="str">
        <f aca="false">IF($A337&lt;&gt;"Seçildi","",IF(OR($D337="",$I337="",$M337=""),"",IF(SUMPRODUCT(($A$7:$A$456="Seçildi")*($D$7:$D$456=$D337)*($I$7:$I$456=$I337)*(ROW($A$7:$A$456)&lt;&gt;337)*($M$7:$M$456&lt;=$N337)*($N$7:$N$456&gt;=$M337))&gt;0,"⚠ Çakışma","OK")))</f>
        <v/>
      </c>
      <c r="S337" s="33" t="str">
        <f aca="false">IF($A337&lt;&gt;"Seçildi","",IF(SUM($K337,$K338,$K339)&lt;&gt;$F337,"⚠ Dağılım: "&amp;SUM($K337:$K339)&amp;"/"&amp;$F337&amp;" saat","✓ Tamam"))</f>
        <v/>
      </c>
      <c r="T337" s="33" t="str">
        <f aca="false">IF($A337&lt;&gt;"Seçildi","",IF(OR($O337&lt;&gt;"",$P337="⚠ Çakışma",$Q337="⚠ Çakışma",$R337="⚠ Çakışma",LEFT($S337&amp;" ",1)="⚠"),"⚠ Kontrol Et","✓ Uygun"))</f>
        <v/>
      </c>
    </row>
    <row r="338" customFormat="false" ht="13.5" hidden="false" customHeight="true" outlineLevel="0" collapsed="false">
      <c r="A338" s="33" t="n">
        <f aca="false">'1-Ders Havuzu'!K113</f>
        <v>0</v>
      </c>
      <c r="B338" s="33" t="str">
        <f aca="false">IF($A338="Seçildi",IF('1-Ders Havuzu'!C113="","",'1-Ders Havuzu'!C113),"")</f>
        <v/>
      </c>
      <c r="C338" s="34" t="str">
        <f aca="false">IF($A338="Seçildi",IF('1-Ders Havuzu'!D113="","",'1-Ders Havuzu'!D113),"")</f>
        <v/>
      </c>
      <c r="D338" s="33" t="str">
        <f aca="false">IF($A338="Seçildi",IF('1-Ders Havuzu'!B113="","",'1-Ders Havuzu'!B113),"")</f>
        <v/>
      </c>
      <c r="E338" s="33" t="str">
        <f aca="false">IF($A338="Seçildi",IF('1-Ders Havuzu'!A113="","",'1-Ders Havuzu'!A113),"")</f>
        <v/>
      </c>
      <c r="F338" s="33" t="str">
        <f aca="false">IF($A338="Seçildi",IF('1-Ders Havuzu'!H113="","",'1-Ders Havuzu'!H113),"")</f>
        <v/>
      </c>
      <c r="G338" s="33" t="str">
        <f aca="false">IF($A338="Seçildi",IF('2-Ders-Öğr.Elemanı Eşleştirme'!H113="","",'2-Ders-Öğr.Elemanı Eşleştirme'!H113),"")</f>
        <v/>
      </c>
      <c r="H338" s="35" t="n">
        <v>2</v>
      </c>
      <c r="I338" s="36"/>
      <c r="J338" s="36"/>
      <c r="K338" s="36"/>
      <c r="L338" s="36"/>
      <c r="M338" s="33" t="str">
        <f aca="false">IF($J338="","",MATCH($J338,{"08.00";"09.00";"10.00";"11.00";"12.00";"13.00";"14.00";"15.00";"16.00";"17.00"},0))</f>
        <v/>
      </c>
      <c r="N338" s="33" t="str">
        <f aca="false">IF(OR($M338="",$K338=""),"",$M338+$K338-1)</f>
        <v/>
      </c>
      <c r="O338" s="33" t="str">
        <f aca="false">IF($A338&lt;&gt;"Seçildi","",IF(OR($M338="",$N338=""),"",IF($N338&gt;10,"⚠ Saat Taşıyor","")))</f>
        <v/>
      </c>
      <c r="P338" s="33" t="str">
        <f aca="false">IF($A338&lt;&gt;"Seçildi","",IF(OR($G338="",$I338="",$M338=""),"",IF(SUMPRODUCT(($A$7:$A$456="Seçildi")*($G$7:$G$456=$G338)*($I$7:$I$456=$I338)*(ROW($A$7:$A$456)&lt;&gt;338)*($M$7:$M$456&lt;=$N338)*($N$7:$N$456&gt;=$M338))&gt;0,"⚠ Çakışma","OK")))</f>
        <v/>
      </c>
      <c r="Q338" s="33" t="str">
        <f aca="false">IF($A338&lt;&gt;"Seçildi","",IF(OR($L338="",$I338="",$M338=""),"",IF(SUMPRODUCT(($A$7:$A$456="Seçildi")*($L$7:$L$456=$L338)*($I$7:$I$456=$I338)*(ROW($A$7:$A$456)&lt;&gt;338)*($M$7:$M$456&lt;=$N338)*($N$7:$N$456&gt;=$M338))&gt;0,"⚠ Çakışma","OK")))</f>
        <v/>
      </c>
      <c r="R338" s="33" t="str">
        <f aca="false">IF($A338&lt;&gt;"Seçildi","",IF(OR($D338="",$I338="",$M338=""),"",IF(SUMPRODUCT(($A$7:$A$456="Seçildi")*($D$7:$D$456=$D338)*($I$7:$I$456=$I338)*(ROW($A$7:$A$456)&lt;&gt;338)*($M$7:$M$456&lt;=$N338)*($N$7:$N$456&gt;=$M338))&gt;0,"⚠ Çakışma","OK")))</f>
        <v/>
      </c>
      <c r="S338" s="33"/>
      <c r="T338" s="33" t="str">
        <f aca="false">IF(OR($A338&lt;&gt;"Seçildi",AND($I338="",$J338="")),"",IF(OR($O338&lt;&gt;"",$P338="⚠ Çakışma",$Q338="⚠ Çakışma",$R338="⚠ Çakışma"),"⚠ Kontrol Et","✓ Uygun"))</f>
        <v/>
      </c>
    </row>
    <row r="339" customFormat="false" ht="13.5" hidden="false" customHeight="true" outlineLevel="0" collapsed="false">
      <c r="A339" s="33" t="n">
        <f aca="false">'1-Ders Havuzu'!K113</f>
        <v>0</v>
      </c>
      <c r="B339" s="33" t="str">
        <f aca="false">IF($A339="Seçildi",IF('1-Ders Havuzu'!C113="","",'1-Ders Havuzu'!C113),"")</f>
        <v/>
      </c>
      <c r="C339" s="34" t="str">
        <f aca="false">IF($A339="Seçildi",IF('1-Ders Havuzu'!D113="","",'1-Ders Havuzu'!D113),"")</f>
        <v/>
      </c>
      <c r="D339" s="33" t="str">
        <f aca="false">IF($A339="Seçildi",IF('1-Ders Havuzu'!B113="","",'1-Ders Havuzu'!B113),"")</f>
        <v/>
      </c>
      <c r="E339" s="33" t="str">
        <f aca="false">IF($A339="Seçildi",IF('1-Ders Havuzu'!A113="","",'1-Ders Havuzu'!A113),"")</f>
        <v/>
      </c>
      <c r="F339" s="33" t="str">
        <f aca="false">IF($A339="Seçildi",IF('1-Ders Havuzu'!H113="","",'1-Ders Havuzu'!H113),"")</f>
        <v/>
      </c>
      <c r="G339" s="33" t="str">
        <f aca="false">IF($A339="Seçildi",IF('2-Ders-Öğr.Elemanı Eşleştirme'!H113="","",'2-Ders-Öğr.Elemanı Eşleştirme'!H113),"")</f>
        <v/>
      </c>
      <c r="H339" s="35" t="n">
        <v>3</v>
      </c>
      <c r="I339" s="36"/>
      <c r="J339" s="36"/>
      <c r="K339" s="36"/>
      <c r="L339" s="36"/>
      <c r="M339" s="33" t="str">
        <f aca="false">IF($J339="","",MATCH($J339,{"08.00";"09.00";"10.00";"11.00";"12.00";"13.00";"14.00";"15.00";"16.00";"17.00"},0))</f>
        <v/>
      </c>
      <c r="N339" s="33" t="str">
        <f aca="false">IF(OR($M339="",$K339=""),"",$M339+$K339-1)</f>
        <v/>
      </c>
      <c r="O339" s="33" t="str">
        <f aca="false">IF($A339&lt;&gt;"Seçildi","",IF(OR($M339="",$N339=""),"",IF($N339&gt;10,"⚠ Saat Taşıyor","")))</f>
        <v/>
      </c>
      <c r="P339" s="33" t="str">
        <f aca="false">IF($A339&lt;&gt;"Seçildi","",IF(OR($G339="",$I339="",$M339=""),"",IF(SUMPRODUCT(($A$7:$A$456="Seçildi")*($G$7:$G$456=$G339)*($I$7:$I$456=$I339)*(ROW($A$7:$A$456)&lt;&gt;339)*($M$7:$M$456&lt;=$N339)*($N$7:$N$456&gt;=$M339))&gt;0,"⚠ Çakışma","OK")))</f>
        <v/>
      </c>
      <c r="Q339" s="33" t="str">
        <f aca="false">IF($A339&lt;&gt;"Seçildi","",IF(OR($L339="",$I339="",$M339=""),"",IF(SUMPRODUCT(($A$7:$A$456="Seçildi")*($L$7:$L$456=$L339)*($I$7:$I$456=$I339)*(ROW($A$7:$A$456)&lt;&gt;339)*($M$7:$M$456&lt;=$N339)*($N$7:$N$456&gt;=$M339))&gt;0,"⚠ Çakışma","OK")))</f>
        <v/>
      </c>
      <c r="R339" s="33" t="str">
        <f aca="false">IF($A339&lt;&gt;"Seçildi","",IF(OR($D339="",$I339="",$M339=""),"",IF(SUMPRODUCT(($A$7:$A$456="Seçildi")*($D$7:$D$456=$D339)*($I$7:$I$456=$I339)*(ROW($A$7:$A$456)&lt;&gt;339)*($M$7:$M$456&lt;=$N339)*($N$7:$N$456&gt;=$M339))&gt;0,"⚠ Çakışma","OK")))</f>
        <v/>
      </c>
      <c r="S339" s="33"/>
      <c r="T339" s="33" t="str">
        <f aca="false">IF(OR($A339&lt;&gt;"Seçildi",AND($I339="",$J339="")),"",IF(OR($O339&lt;&gt;"",$P339="⚠ Çakışma",$Q339="⚠ Çakışma",$R339="⚠ Çakışma"),"⚠ Kontrol Et","✓ Uygun"))</f>
        <v/>
      </c>
    </row>
    <row r="340" customFormat="false" ht="13.5" hidden="false" customHeight="true" outlineLevel="0" collapsed="false">
      <c r="A340" s="37" t="n">
        <f aca="false">'1-Ders Havuzu'!K114</f>
        <v>0</v>
      </c>
      <c r="B340" s="37" t="str">
        <f aca="false">IF($A340="Seçildi",IF('1-Ders Havuzu'!C114="","",'1-Ders Havuzu'!C114),"")</f>
        <v/>
      </c>
      <c r="C340" s="38" t="str">
        <f aca="false">IF($A340="Seçildi",IF('1-Ders Havuzu'!D114="","",'1-Ders Havuzu'!D114),"")</f>
        <v/>
      </c>
      <c r="D340" s="37" t="str">
        <f aca="false">IF($A340="Seçildi",IF('1-Ders Havuzu'!B114="","",'1-Ders Havuzu'!B114),"")</f>
        <v/>
      </c>
      <c r="E340" s="37" t="str">
        <f aca="false">IF($A340="Seçildi",IF('1-Ders Havuzu'!A114="","",'1-Ders Havuzu'!A114),"")</f>
        <v/>
      </c>
      <c r="F340" s="37" t="str">
        <f aca="false">IF($A340="Seçildi",IF('1-Ders Havuzu'!H114="","",'1-Ders Havuzu'!H114),"")</f>
        <v/>
      </c>
      <c r="G340" s="37" t="str">
        <f aca="false">IF($A340="Seçildi",IF('2-Ders-Öğr.Elemanı Eşleştirme'!H114="","",'2-Ders-Öğr.Elemanı Eşleştirme'!H114),"")</f>
        <v/>
      </c>
      <c r="H340" s="39" t="n">
        <v>1</v>
      </c>
      <c r="I340" s="36"/>
      <c r="J340" s="36"/>
      <c r="K340" s="36"/>
      <c r="L340" s="36"/>
      <c r="M340" s="37" t="str">
        <f aca="false">IF($J340="","",MATCH($J340,{"08.00";"09.00";"10.00";"11.00";"12.00";"13.00";"14.00";"15.00";"16.00";"17.00"},0))</f>
        <v/>
      </c>
      <c r="N340" s="37" t="str">
        <f aca="false">IF(OR($M340="",$K340=""),"",$M340+$K340-1)</f>
        <v/>
      </c>
      <c r="O340" s="37" t="str">
        <f aca="false">IF($A340&lt;&gt;"Seçildi","",IF(OR($M340="",$N340=""),"",IF($N340&gt;10,"⚠ Saat Taşıyor","")))</f>
        <v/>
      </c>
      <c r="P340" s="37" t="str">
        <f aca="false">IF($A340&lt;&gt;"Seçildi","",IF(OR($G340="",$I340="",$M340=""),"",IF(SUMPRODUCT(($A$7:$A$456="Seçildi")*($G$7:$G$456=$G340)*($I$7:$I$456=$I340)*(ROW($A$7:$A$456)&lt;&gt;340)*($M$7:$M$456&lt;=$N340)*($N$7:$N$456&gt;=$M340))&gt;0,"⚠ Çakışma","OK")))</f>
        <v/>
      </c>
      <c r="Q340" s="37" t="str">
        <f aca="false">IF($A340&lt;&gt;"Seçildi","",IF(OR($L340="",$I340="",$M340=""),"",IF(SUMPRODUCT(($A$7:$A$456="Seçildi")*($L$7:$L$456=$L340)*($I$7:$I$456=$I340)*(ROW($A$7:$A$456)&lt;&gt;340)*($M$7:$M$456&lt;=$N340)*($N$7:$N$456&gt;=$M340))&gt;0,"⚠ Çakışma","OK")))</f>
        <v/>
      </c>
      <c r="R340" s="37" t="str">
        <f aca="false">IF($A340&lt;&gt;"Seçildi","",IF(OR($D340="",$I340="",$M340=""),"",IF(SUMPRODUCT(($A$7:$A$456="Seçildi")*($D$7:$D$456=$D340)*($I$7:$I$456=$I340)*(ROW($A$7:$A$456)&lt;&gt;340)*($M$7:$M$456&lt;=$N340)*($N$7:$N$456&gt;=$M340))&gt;0,"⚠ Çakışma","OK")))</f>
        <v/>
      </c>
      <c r="S340" s="37" t="str">
        <f aca="false">IF($A340&lt;&gt;"Seçildi","",IF(SUM($K340,$K341,$K342)&lt;&gt;$F340,"⚠ Dağılım: "&amp;SUM($K340:$K342)&amp;"/"&amp;$F340&amp;" saat","✓ Tamam"))</f>
        <v/>
      </c>
      <c r="T340" s="37" t="str">
        <f aca="false">IF($A340&lt;&gt;"Seçildi","",IF(OR($O340&lt;&gt;"",$P340="⚠ Çakışma",$Q340="⚠ Çakışma",$R340="⚠ Çakışma",LEFT($S340&amp;" ",1)="⚠"),"⚠ Kontrol Et","✓ Uygun"))</f>
        <v/>
      </c>
    </row>
    <row r="341" customFormat="false" ht="13.5" hidden="false" customHeight="true" outlineLevel="0" collapsed="false">
      <c r="A341" s="37" t="n">
        <f aca="false">'1-Ders Havuzu'!K114</f>
        <v>0</v>
      </c>
      <c r="B341" s="37" t="str">
        <f aca="false">IF($A341="Seçildi",IF('1-Ders Havuzu'!C114="","",'1-Ders Havuzu'!C114),"")</f>
        <v/>
      </c>
      <c r="C341" s="38" t="str">
        <f aca="false">IF($A341="Seçildi",IF('1-Ders Havuzu'!D114="","",'1-Ders Havuzu'!D114),"")</f>
        <v/>
      </c>
      <c r="D341" s="37" t="str">
        <f aca="false">IF($A341="Seçildi",IF('1-Ders Havuzu'!B114="","",'1-Ders Havuzu'!B114),"")</f>
        <v/>
      </c>
      <c r="E341" s="37" t="str">
        <f aca="false">IF($A341="Seçildi",IF('1-Ders Havuzu'!A114="","",'1-Ders Havuzu'!A114),"")</f>
        <v/>
      </c>
      <c r="F341" s="37" t="str">
        <f aca="false">IF($A341="Seçildi",IF('1-Ders Havuzu'!H114="","",'1-Ders Havuzu'!H114),"")</f>
        <v/>
      </c>
      <c r="G341" s="37" t="str">
        <f aca="false">IF($A341="Seçildi",IF('2-Ders-Öğr.Elemanı Eşleştirme'!H114="","",'2-Ders-Öğr.Elemanı Eşleştirme'!H114),"")</f>
        <v/>
      </c>
      <c r="H341" s="39" t="n">
        <v>2</v>
      </c>
      <c r="I341" s="36"/>
      <c r="J341" s="36"/>
      <c r="K341" s="36"/>
      <c r="L341" s="36"/>
      <c r="M341" s="37" t="str">
        <f aca="false">IF($J341="","",MATCH($J341,{"08.00";"09.00";"10.00";"11.00";"12.00";"13.00";"14.00";"15.00";"16.00";"17.00"},0))</f>
        <v/>
      </c>
      <c r="N341" s="37" t="str">
        <f aca="false">IF(OR($M341="",$K341=""),"",$M341+$K341-1)</f>
        <v/>
      </c>
      <c r="O341" s="37" t="str">
        <f aca="false">IF($A341&lt;&gt;"Seçildi","",IF(OR($M341="",$N341=""),"",IF($N341&gt;10,"⚠ Saat Taşıyor","")))</f>
        <v/>
      </c>
      <c r="P341" s="37" t="str">
        <f aca="false">IF($A341&lt;&gt;"Seçildi","",IF(OR($G341="",$I341="",$M341=""),"",IF(SUMPRODUCT(($A$7:$A$456="Seçildi")*($G$7:$G$456=$G341)*($I$7:$I$456=$I341)*(ROW($A$7:$A$456)&lt;&gt;341)*($M$7:$M$456&lt;=$N341)*($N$7:$N$456&gt;=$M341))&gt;0,"⚠ Çakışma","OK")))</f>
        <v/>
      </c>
      <c r="Q341" s="37" t="str">
        <f aca="false">IF($A341&lt;&gt;"Seçildi","",IF(OR($L341="",$I341="",$M341=""),"",IF(SUMPRODUCT(($A$7:$A$456="Seçildi")*($L$7:$L$456=$L341)*($I$7:$I$456=$I341)*(ROW($A$7:$A$456)&lt;&gt;341)*($M$7:$M$456&lt;=$N341)*($N$7:$N$456&gt;=$M341))&gt;0,"⚠ Çakışma","OK")))</f>
        <v/>
      </c>
      <c r="R341" s="37" t="str">
        <f aca="false">IF($A341&lt;&gt;"Seçildi","",IF(OR($D341="",$I341="",$M341=""),"",IF(SUMPRODUCT(($A$7:$A$456="Seçildi")*($D$7:$D$456=$D341)*($I$7:$I$456=$I341)*(ROW($A$7:$A$456)&lt;&gt;341)*($M$7:$M$456&lt;=$N341)*($N$7:$N$456&gt;=$M341))&gt;0,"⚠ Çakışma","OK")))</f>
        <v/>
      </c>
      <c r="S341" s="37"/>
      <c r="T341" s="37" t="str">
        <f aca="false">IF(OR($A341&lt;&gt;"Seçildi",AND($I341="",$J341="")),"",IF(OR($O341&lt;&gt;"",$P341="⚠ Çakışma",$Q341="⚠ Çakışma",$R341="⚠ Çakışma"),"⚠ Kontrol Et","✓ Uygun"))</f>
        <v/>
      </c>
    </row>
    <row r="342" customFormat="false" ht="13.5" hidden="false" customHeight="true" outlineLevel="0" collapsed="false">
      <c r="A342" s="37" t="n">
        <f aca="false">'1-Ders Havuzu'!K114</f>
        <v>0</v>
      </c>
      <c r="B342" s="37" t="str">
        <f aca="false">IF($A342="Seçildi",IF('1-Ders Havuzu'!C114="","",'1-Ders Havuzu'!C114),"")</f>
        <v/>
      </c>
      <c r="C342" s="38" t="str">
        <f aca="false">IF($A342="Seçildi",IF('1-Ders Havuzu'!D114="","",'1-Ders Havuzu'!D114),"")</f>
        <v/>
      </c>
      <c r="D342" s="37" t="str">
        <f aca="false">IF($A342="Seçildi",IF('1-Ders Havuzu'!B114="","",'1-Ders Havuzu'!B114),"")</f>
        <v/>
      </c>
      <c r="E342" s="37" t="str">
        <f aca="false">IF($A342="Seçildi",IF('1-Ders Havuzu'!A114="","",'1-Ders Havuzu'!A114),"")</f>
        <v/>
      </c>
      <c r="F342" s="37" t="str">
        <f aca="false">IF($A342="Seçildi",IF('1-Ders Havuzu'!H114="","",'1-Ders Havuzu'!H114),"")</f>
        <v/>
      </c>
      <c r="G342" s="37" t="str">
        <f aca="false">IF($A342="Seçildi",IF('2-Ders-Öğr.Elemanı Eşleştirme'!H114="","",'2-Ders-Öğr.Elemanı Eşleştirme'!H114),"")</f>
        <v/>
      </c>
      <c r="H342" s="39" t="n">
        <v>3</v>
      </c>
      <c r="I342" s="36"/>
      <c r="J342" s="36"/>
      <c r="K342" s="36"/>
      <c r="L342" s="36"/>
      <c r="M342" s="37" t="str">
        <f aca="false">IF($J342="","",MATCH($J342,{"08.00";"09.00";"10.00";"11.00";"12.00";"13.00";"14.00";"15.00";"16.00";"17.00"},0))</f>
        <v/>
      </c>
      <c r="N342" s="37" t="str">
        <f aca="false">IF(OR($M342="",$K342=""),"",$M342+$K342-1)</f>
        <v/>
      </c>
      <c r="O342" s="37" t="str">
        <f aca="false">IF($A342&lt;&gt;"Seçildi","",IF(OR($M342="",$N342=""),"",IF($N342&gt;10,"⚠ Saat Taşıyor","")))</f>
        <v/>
      </c>
      <c r="P342" s="37" t="str">
        <f aca="false">IF($A342&lt;&gt;"Seçildi","",IF(OR($G342="",$I342="",$M342=""),"",IF(SUMPRODUCT(($A$7:$A$456="Seçildi")*($G$7:$G$456=$G342)*($I$7:$I$456=$I342)*(ROW($A$7:$A$456)&lt;&gt;342)*($M$7:$M$456&lt;=$N342)*($N$7:$N$456&gt;=$M342))&gt;0,"⚠ Çakışma","OK")))</f>
        <v/>
      </c>
      <c r="Q342" s="37" t="str">
        <f aca="false">IF($A342&lt;&gt;"Seçildi","",IF(OR($L342="",$I342="",$M342=""),"",IF(SUMPRODUCT(($A$7:$A$456="Seçildi")*($L$7:$L$456=$L342)*($I$7:$I$456=$I342)*(ROW($A$7:$A$456)&lt;&gt;342)*($M$7:$M$456&lt;=$N342)*($N$7:$N$456&gt;=$M342))&gt;0,"⚠ Çakışma","OK")))</f>
        <v/>
      </c>
      <c r="R342" s="37" t="str">
        <f aca="false">IF($A342&lt;&gt;"Seçildi","",IF(OR($D342="",$I342="",$M342=""),"",IF(SUMPRODUCT(($A$7:$A$456="Seçildi")*($D$7:$D$456=$D342)*($I$7:$I$456=$I342)*(ROW($A$7:$A$456)&lt;&gt;342)*($M$7:$M$456&lt;=$N342)*($N$7:$N$456&gt;=$M342))&gt;0,"⚠ Çakışma","OK")))</f>
        <v/>
      </c>
      <c r="S342" s="37"/>
      <c r="T342" s="37" t="str">
        <f aca="false">IF(OR($A342&lt;&gt;"Seçildi",AND($I342="",$J342="")),"",IF(OR($O342&lt;&gt;"",$P342="⚠ Çakışma",$Q342="⚠ Çakışma",$R342="⚠ Çakışma"),"⚠ Kontrol Et","✓ Uygun"))</f>
        <v/>
      </c>
    </row>
    <row r="343" customFormat="false" ht="13.5" hidden="false" customHeight="true" outlineLevel="0" collapsed="false">
      <c r="A343" s="33" t="n">
        <f aca="false">'1-Ders Havuzu'!K115</f>
        <v>0</v>
      </c>
      <c r="B343" s="33" t="str">
        <f aca="false">IF($A343="Seçildi",IF('1-Ders Havuzu'!C115="","",'1-Ders Havuzu'!C115),"")</f>
        <v/>
      </c>
      <c r="C343" s="34" t="str">
        <f aca="false">IF($A343="Seçildi",IF('1-Ders Havuzu'!D115="","",'1-Ders Havuzu'!D115),"")</f>
        <v/>
      </c>
      <c r="D343" s="33" t="str">
        <f aca="false">IF($A343="Seçildi",IF('1-Ders Havuzu'!B115="","",'1-Ders Havuzu'!B115),"")</f>
        <v/>
      </c>
      <c r="E343" s="33" t="str">
        <f aca="false">IF($A343="Seçildi",IF('1-Ders Havuzu'!A115="","",'1-Ders Havuzu'!A115),"")</f>
        <v/>
      </c>
      <c r="F343" s="33" t="str">
        <f aca="false">IF($A343="Seçildi",IF('1-Ders Havuzu'!H115="","",'1-Ders Havuzu'!H115),"")</f>
        <v/>
      </c>
      <c r="G343" s="33" t="str">
        <f aca="false">IF($A343="Seçildi",IF('2-Ders-Öğr.Elemanı Eşleştirme'!H115="","",'2-Ders-Öğr.Elemanı Eşleştirme'!H115),"")</f>
        <v/>
      </c>
      <c r="H343" s="35" t="n">
        <v>1</v>
      </c>
      <c r="I343" s="36"/>
      <c r="J343" s="36"/>
      <c r="K343" s="36"/>
      <c r="L343" s="36"/>
      <c r="M343" s="33" t="str">
        <f aca="false">IF($J343="","",MATCH($J343,{"08.00";"09.00";"10.00";"11.00";"12.00";"13.00";"14.00";"15.00";"16.00";"17.00"},0))</f>
        <v/>
      </c>
      <c r="N343" s="33" t="str">
        <f aca="false">IF(OR($M343="",$K343=""),"",$M343+$K343-1)</f>
        <v/>
      </c>
      <c r="O343" s="33" t="str">
        <f aca="false">IF($A343&lt;&gt;"Seçildi","",IF(OR($M343="",$N343=""),"",IF($N343&gt;10,"⚠ Saat Taşıyor","")))</f>
        <v/>
      </c>
      <c r="P343" s="33" t="str">
        <f aca="false">IF($A343&lt;&gt;"Seçildi","",IF(OR($G343="",$I343="",$M343=""),"",IF(SUMPRODUCT(($A$7:$A$456="Seçildi")*($G$7:$G$456=$G343)*($I$7:$I$456=$I343)*(ROW($A$7:$A$456)&lt;&gt;343)*($M$7:$M$456&lt;=$N343)*($N$7:$N$456&gt;=$M343))&gt;0,"⚠ Çakışma","OK")))</f>
        <v/>
      </c>
      <c r="Q343" s="33" t="str">
        <f aca="false">IF($A343&lt;&gt;"Seçildi","",IF(OR($L343="",$I343="",$M343=""),"",IF(SUMPRODUCT(($A$7:$A$456="Seçildi")*($L$7:$L$456=$L343)*($I$7:$I$456=$I343)*(ROW($A$7:$A$456)&lt;&gt;343)*($M$7:$M$456&lt;=$N343)*($N$7:$N$456&gt;=$M343))&gt;0,"⚠ Çakışma","OK")))</f>
        <v/>
      </c>
      <c r="R343" s="33" t="str">
        <f aca="false">IF($A343&lt;&gt;"Seçildi","",IF(OR($D343="",$I343="",$M343=""),"",IF(SUMPRODUCT(($A$7:$A$456="Seçildi")*($D$7:$D$456=$D343)*($I$7:$I$456=$I343)*(ROW($A$7:$A$456)&lt;&gt;343)*($M$7:$M$456&lt;=$N343)*($N$7:$N$456&gt;=$M343))&gt;0,"⚠ Çakışma","OK")))</f>
        <v/>
      </c>
      <c r="S343" s="33" t="str">
        <f aca="false">IF($A343&lt;&gt;"Seçildi","",IF(SUM($K343,$K344,$K345)&lt;&gt;$F343,"⚠ Dağılım: "&amp;SUM($K343:$K345)&amp;"/"&amp;$F343&amp;" saat","✓ Tamam"))</f>
        <v/>
      </c>
      <c r="T343" s="33" t="str">
        <f aca="false">IF($A343&lt;&gt;"Seçildi","",IF(OR($O343&lt;&gt;"",$P343="⚠ Çakışma",$Q343="⚠ Çakışma",$R343="⚠ Çakışma",LEFT($S343&amp;" ",1)="⚠"),"⚠ Kontrol Et","✓ Uygun"))</f>
        <v/>
      </c>
    </row>
    <row r="344" customFormat="false" ht="13.5" hidden="false" customHeight="true" outlineLevel="0" collapsed="false">
      <c r="A344" s="33" t="n">
        <f aca="false">'1-Ders Havuzu'!K115</f>
        <v>0</v>
      </c>
      <c r="B344" s="33" t="str">
        <f aca="false">IF($A344="Seçildi",IF('1-Ders Havuzu'!C115="","",'1-Ders Havuzu'!C115),"")</f>
        <v/>
      </c>
      <c r="C344" s="34" t="str">
        <f aca="false">IF($A344="Seçildi",IF('1-Ders Havuzu'!D115="","",'1-Ders Havuzu'!D115),"")</f>
        <v/>
      </c>
      <c r="D344" s="33" t="str">
        <f aca="false">IF($A344="Seçildi",IF('1-Ders Havuzu'!B115="","",'1-Ders Havuzu'!B115),"")</f>
        <v/>
      </c>
      <c r="E344" s="33" t="str">
        <f aca="false">IF($A344="Seçildi",IF('1-Ders Havuzu'!A115="","",'1-Ders Havuzu'!A115),"")</f>
        <v/>
      </c>
      <c r="F344" s="33" t="str">
        <f aca="false">IF($A344="Seçildi",IF('1-Ders Havuzu'!H115="","",'1-Ders Havuzu'!H115),"")</f>
        <v/>
      </c>
      <c r="G344" s="33" t="str">
        <f aca="false">IF($A344="Seçildi",IF('2-Ders-Öğr.Elemanı Eşleştirme'!H115="","",'2-Ders-Öğr.Elemanı Eşleştirme'!H115),"")</f>
        <v/>
      </c>
      <c r="H344" s="35" t="n">
        <v>2</v>
      </c>
      <c r="I344" s="36"/>
      <c r="J344" s="36"/>
      <c r="K344" s="36"/>
      <c r="L344" s="36"/>
      <c r="M344" s="33" t="str">
        <f aca="false">IF($J344="","",MATCH($J344,{"08.00";"09.00";"10.00";"11.00";"12.00";"13.00";"14.00";"15.00";"16.00";"17.00"},0))</f>
        <v/>
      </c>
      <c r="N344" s="33" t="str">
        <f aca="false">IF(OR($M344="",$K344=""),"",$M344+$K344-1)</f>
        <v/>
      </c>
      <c r="O344" s="33" t="str">
        <f aca="false">IF($A344&lt;&gt;"Seçildi","",IF(OR($M344="",$N344=""),"",IF($N344&gt;10,"⚠ Saat Taşıyor","")))</f>
        <v/>
      </c>
      <c r="P344" s="33" t="str">
        <f aca="false">IF($A344&lt;&gt;"Seçildi","",IF(OR($G344="",$I344="",$M344=""),"",IF(SUMPRODUCT(($A$7:$A$456="Seçildi")*($G$7:$G$456=$G344)*($I$7:$I$456=$I344)*(ROW($A$7:$A$456)&lt;&gt;344)*($M$7:$M$456&lt;=$N344)*($N$7:$N$456&gt;=$M344))&gt;0,"⚠ Çakışma","OK")))</f>
        <v/>
      </c>
      <c r="Q344" s="33" t="str">
        <f aca="false">IF($A344&lt;&gt;"Seçildi","",IF(OR($L344="",$I344="",$M344=""),"",IF(SUMPRODUCT(($A$7:$A$456="Seçildi")*($L$7:$L$456=$L344)*($I$7:$I$456=$I344)*(ROW($A$7:$A$456)&lt;&gt;344)*($M$7:$M$456&lt;=$N344)*($N$7:$N$456&gt;=$M344))&gt;0,"⚠ Çakışma","OK")))</f>
        <v/>
      </c>
      <c r="R344" s="33" t="str">
        <f aca="false">IF($A344&lt;&gt;"Seçildi","",IF(OR($D344="",$I344="",$M344=""),"",IF(SUMPRODUCT(($A$7:$A$456="Seçildi")*($D$7:$D$456=$D344)*($I$7:$I$456=$I344)*(ROW($A$7:$A$456)&lt;&gt;344)*($M$7:$M$456&lt;=$N344)*($N$7:$N$456&gt;=$M344))&gt;0,"⚠ Çakışma","OK")))</f>
        <v/>
      </c>
      <c r="S344" s="33"/>
      <c r="T344" s="33" t="str">
        <f aca="false">IF(OR($A344&lt;&gt;"Seçildi",AND($I344="",$J344="")),"",IF(OR($O344&lt;&gt;"",$P344="⚠ Çakışma",$Q344="⚠ Çakışma",$R344="⚠ Çakışma"),"⚠ Kontrol Et","✓ Uygun"))</f>
        <v/>
      </c>
    </row>
    <row r="345" customFormat="false" ht="13.5" hidden="false" customHeight="true" outlineLevel="0" collapsed="false">
      <c r="A345" s="33" t="n">
        <f aca="false">'1-Ders Havuzu'!K115</f>
        <v>0</v>
      </c>
      <c r="B345" s="33" t="str">
        <f aca="false">IF($A345="Seçildi",IF('1-Ders Havuzu'!C115="","",'1-Ders Havuzu'!C115),"")</f>
        <v/>
      </c>
      <c r="C345" s="34" t="str">
        <f aca="false">IF($A345="Seçildi",IF('1-Ders Havuzu'!D115="","",'1-Ders Havuzu'!D115),"")</f>
        <v/>
      </c>
      <c r="D345" s="33" t="str">
        <f aca="false">IF($A345="Seçildi",IF('1-Ders Havuzu'!B115="","",'1-Ders Havuzu'!B115),"")</f>
        <v/>
      </c>
      <c r="E345" s="33" t="str">
        <f aca="false">IF($A345="Seçildi",IF('1-Ders Havuzu'!A115="","",'1-Ders Havuzu'!A115),"")</f>
        <v/>
      </c>
      <c r="F345" s="33" t="str">
        <f aca="false">IF($A345="Seçildi",IF('1-Ders Havuzu'!H115="","",'1-Ders Havuzu'!H115),"")</f>
        <v/>
      </c>
      <c r="G345" s="33" t="str">
        <f aca="false">IF($A345="Seçildi",IF('2-Ders-Öğr.Elemanı Eşleştirme'!H115="","",'2-Ders-Öğr.Elemanı Eşleştirme'!H115),"")</f>
        <v/>
      </c>
      <c r="H345" s="35" t="n">
        <v>3</v>
      </c>
      <c r="I345" s="36"/>
      <c r="J345" s="36"/>
      <c r="K345" s="36"/>
      <c r="L345" s="36"/>
      <c r="M345" s="33" t="str">
        <f aca="false">IF($J345="","",MATCH($J345,{"08.00";"09.00";"10.00";"11.00";"12.00";"13.00";"14.00";"15.00";"16.00";"17.00"},0))</f>
        <v/>
      </c>
      <c r="N345" s="33" t="str">
        <f aca="false">IF(OR($M345="",$K345=""),"",$M345+$K345-1)</f>
        <v/>
      </c>
      <c r="O345" s="33" t="str">
        <f aca="false">IF($A345&lt;&gt;"Seçildi","",IF(OR($M345="",$N345=""),"",IF($N345&gt;10,"⚠ Saat Taşıyor","")))</f>
        <v/>
      </c>
      <c r="P345" s="33" t="str">
        <f aca="false">IF($A345&lt;&gt;"Seçildi","",IF(OR($G345="",$I345="",$M345=""),"",IF(SUMPRODUCT(($A$7:$A$456="Seçildi")*($G$7:$G$456=$G345)*($I$7:$I$456=$I345)*(ROW($A$7:$A$456)&lt;&gt;345)*($M$7:$M$456&lt;=$N345)*($N$7:$N$456&gt;=$M345))&gt;0,"⚠ Çakışma","OK")))</f>
        <v/>
      </c>
      <c r="Q345" s="33" t="str">
        <f aca="false">IF($A345&lt;&gt;"Seçildi","",IF(OR($L345="",$I345="",$M345=""),"",IF(SUMPRODUCT(($A$7:$A$456="Seçildi")*($L$7:$L$456=$L345)*($I$7:$I$456=$I345)*(ROW($A$7:$A$456)&lt;&gt;345)*($M$7:$M$456&lt;=$N345)*($N$7:$N$456&gt;=$M345))&gt;0,"⚠ Çakışma","OK")))</f>
        <v/>
      </c>
      <c r="R345" s="33" t="str">
        <f aca="false">IF($A345&lt;&gt;"Seçildi","",IF(OR($D345="",$I345="",$M345=""),"",IF(SUMPRODUCT(($A$7:$A$456="Seçildi")*($D$7:$D$456=$D345)*($I$7:$I$456=$I345)*(ROW($A$7:$A$456)&lt;&gt;345)*($M$7:$M$456&lt;=$N345)*($N$7:$N$456&gt;=$M345))&gt;0,"⚠ Çakışma","OK")))</f>
        <v/>
      </c>
      <c r="S345" s="33"/>
      <c r="T345" s="33" t="str">
        <f aca="false">IF(OR($A345&lt;&gt;"Seçildi",AND($I345="",$J345="")),"",IF(OR($O345&lt;&gt;"",$P345="⚠ Çakışma",$Q345="⚠ Çakışma",$R345="⚠ Çakışma"),"⚠ Kontrol Et","✓ Uygun"))</f>
        <v/>
      </c>
    </row>
    <row r="346" customFormat="false" ht="13.5" hidden="false" customHeight="true" outlineLevel="0" collapsed="false">
      <c r="A346" s="37" t="n">
        <f aca="false">'1-Ders Havuzu'!K116</f>
        <v>0</v>
      </c>
      <c r="B346" s="37" t="str">
        <f aca="false">IF($A346="Seçildi",IF('1-Ders Havuzu'!C116="","",'1-Ders Havuzu'!C116),"")</f>
        <v/>
      </c>
      <c r="C346" s="38" t="str">
        <f aca="false">IF($A346="Seçildi",IF('1-Ders Havuzu'!D116="","",'1-Ders Havuzu'!D116),"")</f>
        <v/>
      </c>
      <c r="D346" s="37" t="str">
        <f aca="false">IF($A346="Seçildi",IF('1-Ders Havuzu'!B116="","",'1-Ders Havuzu'!B116),"")</f>
        <v/>
      </c>
      <c r="E346" s="37" t="str">
        <f aca="false">IF($A346="Seçildi",IF('1-Ders Havuzu'!A116="","",'1-Ders Havuzu'!A116),"")</f>
        <v/>
      </c>
      <c r="F346" s="37" t="str">
        <f aca="false">IF($A346="Seçildi",IF('1-Ders Havuzu'!H116="","",'1-Ders Havuzu'!H116),"")</f>
        <v/>
      </c>
      <c r="G346" s="37" t="str">
        <f aca="false">IF($A346="Seçildi",IF('2-Ders-Öğr.Elemanı Eşleştirme'!H116="","",'2-Ders-Öğr.Elemanı Eşleştirme'!H116),"")</f>
        <v/>
      </c>
      <c r="H346" s="39" t="n">
        <v>1</v>
      </c>
      <c r="I346" s="36"/>
      <c r="J346" s="36"/>
      <c r="K346" s="36"/>
      <c r="L346" s="36"/>
      <c r="M346" s="37" t="str">
        <f aca="false">IF($J346="","",MATCH($J346,{"08.00";"09.00";"10.00";"11.00";"12.00";"13.00";"14.00";"15.00";"16.00";"17.00"},0))</f>
        <v/>
      </c>
      <c r="N346" s="37" t="str">
        <f aca="false">IF(OR($M346="",$K346=""),"",$M346+$K346-1)</f>
        <v/>
      </c>
      <c r="O346" s="37" t="str">
        <f aca="false">IF($A346&lt;&gt;"Seçildi","",IF(OR($M346="",$N346=""),"",IF($N346&gt;10,"⚠ Saat Taşıyor","")))</f>
        <v/>
      </c>
      <c r="P346" s="37" t="str">
        <f aca="false">IF($A346&lt;&gt;"Seçildi","",IF(OR($G346="",$I346="",$M346=""),"",IF(SUMPRODUCT(($A$7:$A$456="Seçildi")*($G$7:$G$456=$G346)*($I$7:$I$456=$I346)*(ROW($A$7:$A$456)&lt;&gt;346)*($M$7:$M$456&lt;=$N346)*($N$7:$N$456&gt;=$M346))&gt;0,"⚠ Çakışma","OK")))</f>
        <v/>
      </c>
      <c r="Q346" s="37" t="str">
        <f aca="false">IF($A346&lt;&gt;"Seçildi","",IF(OR($L346="",$I346="",$M346=""),"",IF(SUMPRODUCT(($A$7:$A$456="Seçildi")*($L$7:$L$456=$L346)*($I$7:$I$456=$I346)*(ROW($A$7:$A$456)&lt;&gt;346)*($M$7:$M$456&lt;=$N346)*($N$7:$N$456&gt;=$M346))&gt;0,"⚠ Çakışma","OK")))</f>
        <v/>
      </c>
      <c r="R346" s="37" t="str">
        <f aca="false">IF($A346&lt;&gt;"Seçildi","",IF(OR($D346="",$I346="",$M346=""),"",IF(SUMPRODUCT(($A$7:$A$456="Seçildi")*($D$7:$D$456=$D346)*($I$7:$I$456=$I346)*(ROW($A$7:$A$456)&lt;&gt;346)*($M$7:$M$456&lt;=$N346)*($N$7:$N$456&gt;=$M346))&gt;0,"⚠ Çakışma","OK")))</f>
        <v/>
      </c>
      <c r="S346" s="37" t="str">
        <f aca="false">IF($A346&lt;&gt;"Seçildi","",IF(SUM($K346,$K347,$K348)&lt;&gt;$F346,"⚠ Dağılım: "&amp;SUM($K346:$K348)&amp;"/"&amp;$F346&amp;" saat","✓ Tamam"))</f>
        <v/>
      </c>
      <c r="T346" s="37" t="str">
        <f aca="false">IF($A346&lt;&gt;"Seçildi","",IF(OR($O346&lt;&gt;"",$P346="⚠ Çakışma",$Q346="⚠ Çakışma",$R346="⚠ Çakışma",LEFT($S346&amp;" ",1)="⚠"),"⚠ Kontrol Et","✓ Uygun"))</f>
        <v/>
      </c>
    </row>
    <row r="347" customFormat="false" ht="13.5" hidden="false" customHeight="true" outlineLevel="0" collapsed="false">
      <c r="A347" s="37" t="n">
        <f aca="false">'1-Ders Havuzu'!K116</f>
        <v>0</v>
      </c>
      <c r="B347" s="37" t="str">
        <f aca="false">IF($A347="Seçildi",IF('1-Ders Havuzu'!C116="","",'1-Ders Havuzu'!C116),"")</f>
        <v/>
      </c>
      <c r="C347" s="38" t="str">
        <f aca="false">IF($A347="Seçildi",IF('1-Ders Havuzu'!D116="","",'1-Ders Havuzu'!D116),"")</f>
        <v/>
      </c>
      <c r="D347" s="37" t="str">
        <f aca="false">IF($A347="Seçildi",IF('1-Ders Havuzu'!B116="","",'1-Ders Havuzu'!B116),"")</f>
        <v/>
      </c>
      <c r="E347" s="37" t="str">
        <f aca="false">IF($A347="Seçildi",IF('1-Ders Havuzu'!A116="","",'1-Ders Havuzu'!A116),"")</f>
        <v/>
      </c>
      <c r="F347" s="37" t="str">
        <f aca="false">IF($A347="Seçildi",IF('1-Ders Havuzu'!H116="","",'1-Ders Havuzu'!H116),"")</f>
        <v/>
      </c>
      <c r="G347" s="37" t="str">
        <f aca="false">IF($A347="Seçildi",IF('2-Ders-Öğr.Elemanı Eşleştirme'!H116="","",'2-Ders-Öğr.Elemanı Eşleştirme'!H116),"")</f>
        <v/>
      </c>
      <c r="H347" s="39" t="n">
        <v>2</v>
      </c>
      <c r="I347" s="36"/>
      <c r="J347" s="36"/>
      <c r="K347" s="36"/>
      <c r="L347" s="36"/>
      <c r="M347" s="37" t="str">
        <f aca="false">IF($J347="","",MATCH($J347,{"08.00";"09.00";"10.00";"11.00";"12.00";"13.00";"14.00";"15.00";"16.00";"17.00"},0))</f>
        <v/>
      </c>
      <c r="N347" s="37" t="str">
        <f aca="false">IF(OR($M347="",$K347=""),"",$M347+$K347-1)</f>
        <v/>
      </c>
      <c r="O347" s="37" t="str">
        <f aca="false">IF($A347&lt;&gt;"Seçildi","",IF(OR($M347="",$N347=""),"",IF($N347&gt;10,"⚠ Saat Taşıyor","")))</f>
        <v/>
      </c>
      <c r="P347" s="37" t="str">
        <f aca="false">IF($A347&lt;&gt;"Seçildi","",IF(OR($G347="",$I347="",$M347=""),"",IF(SUMPRODUCT(($A$7:$A$456="Seçildi")*($G$7:$G$456=$G347)*($I$7:$I$456=$I347)*(ROW($A$7:$A$456)&lt;&gt;347)*($M$7:$M$456&lt;=$N347)*($N$7:$N$456&gt;=$M347))&gt;0,"⚠ Çakışma","OK")))</f>
        <v/>
      </c>
      <c r="Q347" s="37" t="str">
        <f aca="false">IF($A347&lt;&gt;"Seçildi","",IF(OR($L347="",$I347="",$M347=""),"",IF(SUMPRODUCT(($A$7:$A$456="Seçildi")*($L$7:$L$456=$L347)*($I$7:$I$456=$I347)*(ROW($A$7:$A$456)&lt;&gt;347)*($M$7:$M$456&lt;=$N347)*($N$7:$N$456&gt;=$M347))&gt;0,"⚠ Çakışma","OK")))</f>
        <v/>
      </c>
      <c r="R347" s="37" t="str">
        <f aca="false">IF($A347&lt;&gt;"Seçildi","",IF(OR($D347="",$I347="",$M347=""),"",IF(SUMPRODUCT(($A$7:$A$456="Seçildi")*($D$7:$D$456=$D347)*($I$7:$I$456=$I347)*(ROW($A$7:$A$456)&lt;&gt;347)*($M$7:$M$456&lt;=$N347)*($N$7:$N$456&gt;=$M347))&gt;0,"⚠ Çakışma","OK")))</f>
        <v/>
      </c>
      <c r="S347" s="37"/>
      <c r="T347" s="37" t="str">
        <f aca="false">IF(OR($A347&lt;&gt;"Seçildi",AND($I347="",$J347="")),"",IF(OR($O347&lt;&gt;"",$P347="⚠ Çakışma",$Q347="⚠ Çakışma",$R347="⚠ Çakışma"),"⚠ Kontrol Et","✓ Uygun"))</f>
        <v/>
      </c>
    </row>
    <row r="348" customFormat="false" ht="13.5" hidden="false" customHeight="true" outlineLevel="0" collapsed="false">
      <c r="A348" s="37" t="n">
        <f aca="false">'1-Ders Havuzu'!K116</f>
        <v>0</v>
      </c>
      <c r="B348" s="37" t="str">
        <f aca="false">IF($A348="Seçildi",IF('1-Ders Havuzu'!C116="","",'1-Ders Havuzu'!C116),"")</f>
        <v/>
      </c>
      <c r="C348" s="38" t="str">
        <f aca="false">IF($A348="Seçildi",IF('1-Ders Havuzu'!D116="","",'1-Ders Havuzu'!D116),"")</f>
        <v/>
      </c>
      <c r="D348" s="37" t="str">
        <f aca="false">IF($A348="Seçildi",IF('1-Ders Havuzu'!B116="","",'1-Ders Havuzu'!B116),"")</f>
        <v/>
      </c>
      <c r="E348" s="37" t="str">
        <f aca="false">IF($A348="Seçildi",IF('1-Ders Havuzu'!A116="","",'1-Ders Havuzu'!A116),"")</f>
        <v/>
      </c>
      <c r="F348" s="37" t="str">
        <f aca="false">IF($A348="Seçildi",IF('1-Ders Havuzu'!H116="","",'1-Ders Havuzu'!H116),"")</f>
        <v/>
      </c>
      <c r="G348" s="37" t="str">
        <f aca="false">IF($A348="Seçildi",IF('2-Ders-Öğr.Elemanı Eşleştirme'!H116="","",'2-Ders-Öğr.Elemanı Eşleştirme'!H116),"")</f>
        <v/>
      </c>
      <c r="H348" s="39" t="n">
        <v>3</v>
      </c>
      <c r="I348" s="36"/>
      <c r="J348" s="36"/>
      <c r="K348" s="36"/>
      <c r="L348" s="36"/>
      <c r="M348" s="37" t="str">
        <f aca="false">IF($J348="","",MATCH($J348,{"08.00";"09.00";"10.00";"11.00";"12.00";"13.00";"14.00";"15.00";"16.00";"17.00"},0))</f>
        <v/>
      </c>
      <c r="N348" s="37" t="str">
        <f aca="false">IF(OR($M348="",$K348=""),"",$M348+$K348-1)</f>
        <v/>
      </c>
      <c r="O348" s="37" t="str">
        <f aca="false">IF($A348&lt;&gt;"Seçildi","",IF(OR($M348="",$N348=""),"",IF($N348&gt;10,"⚠ Saat Taşıyor","")))</f>
        <v/>
      </c>
      <c r="P348" s="37" t="str">
        <f aca="false">IF($A348&lt;&gt;"Seçildi","",IF(OR($G348="",$I348="",$M348=""),"",IF(SUMPRODUCT(($A$7:$A$456="Seçildi")*($G$7:$G$456=$G348)*($I$7:$I$456=$I348)*(ROW($A$7:$A$456)&lt;&gt;348)*($M$7:$M$456&lt;=$N348)*($N$7:$N$456&gt;=$M348))&gt;0,"⚠ Çakışma","OK")))</f>
        <v/>
      </c>
      <c r="Q348" s="37" t="str">
        <f aca="false">IF($A348&lt;&gt;"Seçildi","",IF(OR($L348="",$I348="",$M348=""),"",IF(SUMPRODUCT(($A$7:$A$456="Seçildi")*($L$7:$L$456=$L348)*($I$7:$I$456=$I348)*(ROW($A$7:$A$456)&lt;&gt;348)*($M$7:$M$456&lt;=$N348)*($N$7:$N$456&gt;=$M348))&gt;0,"⚠ Çakışma","OK")))</f>
        <v/>
      </c>
      <c r="R348" s="37" t="str">
        <f aca="false">IF($A348&lt;&gt;"Seçildi","",IF(OR($D348="",$I348="",$M348=""),"",IF(SUMPRODUCT(($A$7:$A$456="Seçildi")*($D$7:$D$456=$D348)*($I$7:$I$456=$I348)*(ROW($A$7:$A$456)&lt;&gt;348)*($M$7:$M$456&lt;=$N348)*($N$7:$N$456&gt;=$M348))&gt;0,"⚠ Çakışma","OK")))</f>
        <v/>
      </c>
      <c r="S348" s="37"/>
      <c r="T348" s="37" t="str">
        <f aca="false">IF(OR($A348&lt;&gt;"Seçildi",AND($I348="",$J348="")),"",IF(OR($O348&lt;&gt;"",$P348="⚠ Çakışma",$Q348="⚠ Çakışma",$R348="⚠ Çakışma"),"⚠ Kontrol Et","✓ Uygun"))</f>
        <v/>
      </c>
    </row>
    <row r="349" customFormat="false" ht="13.5" hidden="false" customHeight="true" outlineLevel="0" collapsed="false">
      <c r="A349" s="33" t="n">
        <f aca="false">'1-Ders Havuzu'!K117</f>
        <v>0</v>
      </c>
      <c r="B349" s="33" t="str">
        <f aca="false">IF($A349="Seçildi",IF('1-Ders Havuzu'!C117="","",'1-Ders Havuzu'!C117),"")</f>
        <v/>
      </c>
      <c r="C349" s="34" t="str">
        <f aca="false">IF($A349="Seçildi",IF('1-Ders Havuzu'!D117="","",'1-Ders Havuzu'!D117),"")</f>
        <v/>
      </c>
      <c r="D349" s="33" t="str">
        <f aca="false">IF($A349="Seçildi",IF('1-Ders Havuzu'!B117="","",'1-Ders Havuzu'!B117),"")</f>
        <v/>
      </c>
      <c r="E349" s="33" t="str">
        <f aca="false">IF($A349="Seçildi",IF('1-Ders Havuzu'!A117="","",'1-Ders Havuzu'!A117),"")</f>
        <v/>
      </c>
      <c r="F349" s="33" t="str">
        <f aca="false">IF($A349="Seçildi",IF('1-Ders Havuzu'!H117="","",'1-Ders Havuzu'!H117),"")</f>
        <v/>
      </c>
      <c r="G349" s="33" t="str">
        <f aca="false">IF($A349="Seçildi",IF('2-Ders-Öğr.Elemanı Eşleştirme'!H117="","",'2-Ders-Öğr.Elemanı Eşleştirme'!H117),"")</f>
        <v/>
      </c>
      <c r="H349" s="35" t="n">
        <v>1</v>
      </c>
      <c r="I349" s="36"/>
      <c r="J349" s="36"/>
      <c r="K349" s="36"/>
      <c r="L349" s="36"/>
      <c r="M349" s="33" t="str">
        <f aca="false">IF($J349="","",MATCH($J349,{"08.00";"09.00";"10.00";"11.00";"12.00";"13.00";"14.00";"15.00";"16.00";"17.00"},0))</f>
        <v/>
      </c>
      <c r="N349" s="33" t="str">
        <f aca="false">IF(OR($M349="",$K349=""),"",$M349+$K349-1)</f>
        <v/>
      </c>
      <c r="O349" s="33" t="str">
        <f aca="false">IF($A349&lt;&gt;"Seçildi","",IF(OR($M349="",$N349=""),"",IF($N349&gt;10,"⚠ Saat Taşıyor","")))</f>
        <v/>
      </c>
      <c r="P349" s="33" t="str">
        <f aca="false">IF($A349&lt;&gt;"Seçildi","",IF(OR($G349="",$I349="",$M349=""),"",IF(SUMPRODUCT(($A$7:$A$456="Seçildi")*($G$7:$G$456=$G349)*($I$7:$I$456=$I349)*(ROW($A$7:$A$456)&lt;&gt;349)*($M$7:$M$456&lt;=$N349)*($N$7:$N$456&gt;=$M349))&gt;0,"⚠ Çakışma","OK")))</f>
        <v/>
      </c>
      <c r="Q349" s="33" t="str">
        <f aca="false">IF($A349&lt;&gt;"Seçildi","",IF(OR($L349="",$I349="",$M349=""),"",IF(SUMPRODUCT(($A$7:$A$456="Seçildi")*($L$7:$L$456=$L349)*($I$7:$I$456=$I349)*(ROW($A$7:$A$456)&lt;&gt;349)*($M$7:$M$456&lt;=$N349)*($N$7:$N$456&gt;=$M349))&gt;0,"⚠ Çakışma","OK")))</f>
        <v/>
      </c>
      <c r="R349" s="33" t="str">
        <f aca="false">IF($A349&lt;&gt;"Seçildi","",IF(OR($D349="",$I349="",$M349=""),"",IF(SUMPRODUCT(($A$7:$A$456="Seçildi")*($D$7:$D$456=$D349)*($I$7:$I$456=$I349)*(ROW($A$7:$A$456)&lt;&gt;349)*($M$7:$M$456&lt;=$N349)*($N$7:$N$456&gt;=$M349))&gt;0,"⚠ Çakışma","OK")))</f>
        <v/>
      </c>
      <c r="S349" s="33" t="str">
        <f aca="false">IF($A349&lt;&gt;"Seçildi","",IF(SUM($K349,$K350,$K351)&lt;&gt;$F349,"⚠ Dağılım: "&amp;SUM($K349:$K351)&amp;"/"&amp;$F349&amp;" saat","✓ Tamam"))</f>
        <v/>
      </c>
      <c r="T349" s="33" t="str">
        <f aca="false">IF($A349&lt;&gt;"Seçildi","",IF(OR($O349&lt;&gt;"",$P349="⚠ Çakışma",$Q349="⚠ Çakışma",$R349="⚠ Çakışma",LEFT($S349&amp;" ",1)="⚠"),"⚠ Kontrol Et","✓ Uygun"))</f>
        <v/>
      </c>
    </row>
    <row r="350" customFormat="false" ht="13.5" hidden="false" customHeight="true" outlineLevel="0" collapsed="false">
      <c r="A350" s="33" t="n">
        <f aca="false">'1-Ders Havuzu'!K117</f>
        <v>0</v>
      </c>
      <c r="B350" s="33" t="str">
        <f aca="false">IF($A350="Seçildi",IF('1-Ders Havuzu'!C117="","",'1-Ders Havuzu'!C117),"")</f>
        <v/>
      </c>
      <c r="C350" s="34" t="str">
        <f aca="false">IF($A350="Seçildi",IF('1-Ders Havuzu'!D117="","",'1-Ders Havuzu'!D117),"")</f>
        <v/>
      </c>
      <c r="D350" s="33" t="str">
        <f aca="false">IF($A350="Seçildi",IF('1-Ders Havuzu'!B117="","",'1-Ders Havuzu'!B117),"")</f>
        <v/>
      </c>
      <c r="E350" s="33" t="str">
        <f aca="false">IF($A350="Seçildi",IF('1-Ders Havuzu'!A117="","",'1-Ders Havuzu'!A117),"")</f>
        <v/>
      </c>
      <c r="F350" s="33" t="str">
        <f aca="false">IF($A350="Seçildi",IF('1-Ders Havuzu'!H117="","",'1-Ders Havuzu'!H117),"")</f>
        <v/>
      </c>
      <c r="G350" s="33" t="str">
        <f aca="false">IF($A350="Seçildi",IF('2-Ders-Öğr.Elemanı Eşleştirme'!H117="","",'2-Ders-Öğr.Elemanı Eşleştirme'!H117),"")</f>
        <v/>
      </c>
      <c r="H350" s="35" t="n">
        <v>2</v>
      </c>
      <c r="I350" s="36"/>
      <c r="J350" s="36"/>
      <c r="K350" s="36"/>
      <c r="L350" s="36"/>
      <c r="M350" s="33" t="str">
        <f aca="false">IF($J350="","",MATCH($J350,{"08.00";"09.00";"10.00";"11.00";"12.00";"13.00";"14.00";"15.00";"16.00";"17.00"},0))</f>
        <v/>
      </c>
      <c r="N350" s="33" t="str">
        <f aca="false">IF(OR($M350="",$K350=""),"",$M350+$K350-1)</f>
        <v/>
      </c>
      <c r="O350" s="33" t="str">
        <f aca="false">IF($A350&lt;&gt;"Seçildi","",IF(OR($M350="",$N350=""),"",IF($N350&gt;10,"⚠ Saat Taşıyor","")))</f>
        <v/>
      </c>
      <c r="P350" s="33" t="str">
        <f aca="false">IF($A350&lt;&gt;"Seçildi","",IF(OR($G350="",$I350="",$M350=""),"",IF(SUMPRODUCT(($A$7:$A$456="Seçildi")*($G$7:$G$456=$G350)*($I$7:$I$456=$I350)*(ROW($A$7:$A$456)&lt;&gt;350)*($M$7:$M$456&lt;=$N350)*($N$7:$N$456&gt;=$M350))&gt;0,"⚠ Çakışma","OK")))</f>
        <v/>
      </c>
      <c r="Q350" s="33" t="str">
        <f aca="false">IF($A350&lt;&gt;"Seçildi","",IF(OR($L350="",$I350="",$M350=""),"",IF(SUMPRODUCT(($A$7:$A$456="Seçildi")*($L$7:$L$456=$L350)*($I$7:$I$456=$I350)*(ROW($A$7:$A$456)&lt;&gt;350)*($M$7:$M$456&lt;=$N350)*($N$7:$N$456&gt;=$M350))&gt;0,"⚠ Çakışma","OK")))</f>
        <v/>
      </c>
      <c r="R350" s="33" t="str">
        <f aca="false">IF($A350&lt;&gt;"Seçildi","",IF(OR($D350="",$I350="",$M350=""),"",IF(SUMPRODUCT(($A$7:$A$456="Seçildi")*($D$7:$D$456=$D350)*($I$7:$I$456=$I350)*(ROW($A$7:$A$456)&lt;&gt;350)*($M$7:$M$456&lt;=$N350)*($N$7:$N$456&gt;=$M350))&gt;0,"⚠ Çakışma","OK")))</f>
        <v/>
      </c>
      <c r="S350" s="33"/>
      <c r="T350" s="33" t="str">
        <f aca="false">IF(OR($A350&lt;&gt;"Seçildi",AND($I350="",$J350="")),"",IF(OR($O350&lt;&gt;"",$P350="⚠ Çakışma",$Q350="⚠ Çakışma",$R350="⚠ Çakışma"),"⚠ Kontrol Et","✓ Uygun"))</f>
        <v/>
      </c>
    </row>
    <row r="351" customFormat="false" ht="13.5" hidden="false" customHeight="true" outlineLevel="0" collapsed="false">
      <c r="A351" s="33" t="n">
        <f aca="false">'1-Ders Havuzu'!K117</f>
        <v>0</v>
      </c>
      <c r="B351" s="33" t="str">
        <f aca="false">IF($A351="Seçildi",IF('1-Ders Havuzu'!C117="","",'1-Ders Havuzu'!C117),"")</f>
        <v/>
      </c>
      <c r="C351" s="34" t="str">
        <f aca="false">IF($A351="Seçildi",IF('1-Ders Havuzu'!D117="","",'1-Ders Havuzu'!D117),"")</f>
        <v/>
      </c>
      <c r="D351" s="33" t="str">
        <f aca="false">IF($A351="Seçildi",IF('1-Ders Havuzu'!B117="","",'1-Ders Havuzu'!B117),"")</f>
        <v/>
      </c>
      <c r="E351" s="33" t="str">
        <f aca="false">IF($A351="Seçildi",IF('1-Ders Havuzu'!A117="","",'1-Ders Havuzu'!A117),"")</f>
        <v/>
      </c>
      <c r="F351" s="33" t="str">
        <f aca="false">IF($A351="Seçildi",IF('1-Ders Havuzu'!H117="","",'1-Ders Havuzu'!H117),"")</f>
        <v/>
      </c>
      <c r="G351" s="33" t="str">
        <f aca="false">IF($A351="Seçildi",IF('2-Ders-Öğr.Elemanı Eşleştirme'!H117="","",'2-Ders-Öğr.Elemanı Eşleştirme'!H117),"")</f>
        <v/>
      </c>
      <c r="H351" s="35" t="n">
        <v>3</v>
      </c>
      <c r="I351" s="36"/>
      <c r="J351" s="36"/>
      <c r="K351" s="36"/>
      <c r="L351" s="36"/>
      <c r="M351" s="33" t="str">
        <f aca="false">IF($J351="","",MATCH($J351,{"08.00";"09.00";"10.00";"11.00";"12.00";"13.00";"14.00";"15.00";"16.00";"17.00"},0))</f>
        <v/>
      </c>
      <c r="N351" s="33" t="str">
        <f aca="false">IF(OR($M351="",$K351=""),"",$M351+$K351-1)</f>
        <v/>
      </c>
      <c r="O351" s="33" t="str">
        <f aca="false">IF($A351&lt;&gt;"Seçildi","",IF(OR($M351="",$N351=""),"",IF($N351&gt;10,"⚠ Saat Taşıyor","")))</f>
        <v/>
      </c>
      <c r="P351" s="33" t="str">
        <f aca="false">IF($A351&lt;&gt;"Seçildi","",IF(OR($G351="",$I351="",$M351=""),"",IF(SUMPRODUCT(($A$7:$A$456="Seçildi")*($G$7:$G$456=$G351)*($I$7:$I$456=$I351)*(ROW($A$7:$A$456)&lt;&gt;351)*($M$7:$M$456&lt;=$N351)*($N$7:$N$456&gt;=$M351))&gt;0,"⚠ Çakışma","OK")))</f>
        <v/>
      </c>
      <c r="Q351" s="33" t="str">
        <f aca="false">IF($A351&lt;&gt;"Seçildi","",IF(OR($L351="",$I351="",$M351=""),"",IF(SUMPRODUCT(($A$7:$A$456="Seçildi")*($L$7:$L$456=$L351)*($I$7:$I$456=$I351)*(ROW($A$7:$A$456)&lt;&gt;351)*($M$7:$M$456&lt;=$N351)*($N$7:$N$456&gt;=$M351))&gt;0,"⚠ Çakışma","OK")))</f>
        <v/>
      </c>
      <c r="R351" s="33" t="str">
        <f aca="false">IF($A351&lt;&gt;"Seçildi","",IF(OR($D351="",$I351="",$M351=""),"",IF(SUMPRODUCT(($A$7:$A$456="Seçildi")*($D$7:$D$456=$D351)*($I$7:$I$456=$I351)*(ROW($A$7:$A$456)&lt;&gt;351)*($M$7:$M$456&lt;=$N351)*($N$7:$N$456&gt;=$M351))&gt;0,"⚠ Çakışma","OK")))</f>
        <v/>
      </c>
      <c r="S351" s="33"/>
      <c r="T351" s="33" t="str">
        <f aca="false">IF(OR($A351&lt;&gt;"Seçildi",AND($I351="",$J351="")),"",IF(OR($O351&lt;&gt;"",$P351="⚠ Çakışma",$Q351="⚠ Çakışma",$R351="⚠ Çakışma"),"⚠ Kontrol Et","✓ Uygun"))</f>
        <v/>
      </c>
    </row>
    <row r="352" customFormat="false" ht="13.5" hidden="false" customHeight="true" outlineLevel="0" collapsed="false">
      <c r="A352" s="37" t="n">
        <f aca="false">'1-Ders Havuzu'!K118</f>
        <v>0</v>
      </c>
      <c r="B352" s="37" t="str">
        <f aca="false">IF($A352="Seçildi",IF('1-Ders Havuzu'!C118="","",'1-Ders Havuzu'!C118),"")</f>
        <v/>
      </c>
      <c r="C352" s="38" t="str">
        <f aca="false">IF($A352="Seçildi",IF('1-Ders Havuzu'!D118="","",'1-Ders Havuzu'!D118),"")</f>
        <v/>
      </c>
      <c r="D352" s="37" t="str">
        <f aca="false">IF($A352="Seçildi",IF('1-Ders Havuzu'!B118="","",'1-Ders Havuzu'!B118),"")</f>
        <v/>
      </c>
      <c r="E352" s="37" t="str">
        <f aca="false">IF($A352="Seçildi",IF('1-Ders Havuzu'!A118="","",'1-Ders Havuzu'!A118),"")</f>
        <v/>
      </c>
      <c r="F352" s="37" t="str">
        <f aca="false">IF($A352="Seçildi",IF('1-Ders Havuzu'!H118="","",'1-Ders Havuzu'!H118),"")</f>
        <v/>
      </c>
      <c r="G352" s="37" t="str">
        <f aca="false">IF($A352="Seçildi",IF('2-Ders-Öğr.Elemanı Eşleştirme'!H118="","",'2-Ders-Öğr.Elemanı Eşleştirme'!H118),"")</f>
        <v/>
      </c>
      <c r="H352" s="39" t="n">
        <v>1</v>
      </c>
      <c r="I352" s="36"/>
      <c r="J352" s="36"/>
      <c r="K352" s="36"/>
      <c r="L352" s="36"/>
      <c r="M352" s="37" t="str">
        <f aca="false">IF($J352="","",MATCH($J352,{"08.00";"09.00";"10.00";"11.00";"12.00";"13.00";"14.00";"15.00";"16.00";"17.00"},0))</f>
        <v/>
      </c>
      <c r="N352" s="37" t="str">
        <f aca="false">IF(OR($M352="",$K352=""),"",$M352+$K352-1)</f>
        <v/>
      </c>
      <c r="O352" s="37" t="str">
        <f aca="false">IF($A352&lt;&gt;"Seçildi","",IF(OR($M352="",$N352=""),"",IF($N352&gt;10,"⚠ Saat Taşıyor","")))</f>
        <v/>
      </c>
      <c r="P352" s="37" t="str">
        <f aca="false">IF($A352&lt;&gt;"Seçildi","",IF(OR($G352="",$I352="",$M352=""),"",IF(SUMPRODUCT(($A$7:$A$456="Seçildi")*($G$7:$G$456=$G352)*($I$7:$I$456=$I352)*(ROW($A$7:$A$456)&lt;&gt;352)*($M$7:$M$456&lt;=$N352)*($N$7:$N$456&gt;=$M352))&gt;0,"⚠ Çakışma","OK")))</f>
        <v/>
      </c>
      <c r="Q352" s="37" t="str">
        <f aca="false">IF($A352&lt;&gt;"Seçildi","",IF(OR($L352="",$I352="",$M352=""),"",IF(SUMPRODUCT(($A$7:$A$456="Seçildi")*($L$7:$L$456=$L352)*($I$7:$I$456=$I352)*(ROW($A$7:$A$456)&lt;&gt;352)*($M$7:$M$456&lt;=$N352)*($N$7:$N$456&gt;=$M352))&gt;0,"⚠ Çakışma","OK")))</f>
        <v/>
      </c>
      <c r="R352" s="37" t="str">
        <f aca="false">IF($A352&lt;&gt;"Seçildi","",IF(OR($D352="",$I352="",$M352=""),"",IF(SUMPRODUCT(($A$7:$A$456="Seçildi")*($D$7:$D$456=$D352)*($I$7:$I$456=$I352)*(ROW($A$7:$A$456)&lt;&gt;352)*($M$7:$M$456&lt;=$N352)*($N$7:$N$456&gt;=$M352))&gt;0,"⚠ Çakışma","OK")))</f>
        <v/>
      </c>
      <c r="S352" s="37" t="str">
        <f aca="false">IF($A352&lt;&gt;"Seçildi","",IF(SUM($K352,$K353,$K354)&lt;&gt;$F352,"⚠ Dağılım: "&amp;SUM($K352:$K354)&amp;"/"&amp;$F352&amp;" saat","✓ Tamam"))</f>
        <v/>
      </c>
      <c r="T352" s="37" t="str">
        <f aca="false">IF($A352&lt;&gt;"Seçildi","",IF(OR($O352&lt;&gt;"",$P352="⚠ Çakışma",$Q352="⚠ Çakışma",$R352="⚠ Çakışma",LEFT($S352&amp;" ",1)="⚠"),"⚠ Kontrol Et","✓ Uygun"))</f>
        <v/>
      </c>
    </row>
    <row r="353" customFormat="false" ht="13.5" hidden="false" customHeight="true" outlineLevel="0" collapsed="false">
      <c r="A353" s="37" t="n">
        <f aca="false">'1-Ders Havuzu'!K118</f>
        <v>0</v>
      </c>
      <c r="B353" s="37" t="str">
        <f aca="false">IF($A353="Seçildi",IF('1-Ders Havuzu'!C118="","",'1-Ders Havuzu'!C118),"")</f>
        <v/>
      </c>
      <c r="C353" s="38" t="str">
        <f aca="false">IF($A353="Seçildi",IF('1-Ders Havuzu'!D118="","",'1-Ders Havuzu'!D118),"")</f>
        <v/>
      </c>
      <c r="D353" s="37" t="str">
        <f aca="false">IF($A353="Seçildi",IF('1-Ders Havuzu'!B118="","",'1-Ders Havuzu'!B118),"")</f>
        <v/>
      </c>
      <c r="E353" s="37" t="str">
        <f aca="false">IF($A353="Seçildi",IF('1-Ders Havuzu'!A118="","",'1-Ders Havuzu'!A118),"")</f>
        <v/>
      </c>
      <c r="F353" s="37" t="str">
        <f aca="false">IF($A353="Seçildi",IF('1-Ders Havuzu'!H118="","",'1-Ders Havuzu'!H118),"")</f>
        <v/>
      </c>
      <c r="G353" s="37" t="str">
        <f aca="false">IF($A353="Seçildi",IF('2-Ders-Öğr.Elemanı Eşleştirme'!H118="","",'2-Ders-Öğr.Elemanı Eşleştirme'!H118),"")</f>
        <v/>
      </c>
      <c r="H353" s="39" t="n">
        <v>2</v>
      </c>
      <c r="I353" s="36"/>
      <c r="J353" s="36"/>
      <c r="K353" s="36"/>
      <c r="L353" s="36"/>
      <c r="M353" s="37" t="str">
        <f aca="false">IF($J353="","",MATCH($J353,{"08.00";"09.00";"10.00";"11.00";"12.00";"13.00";"14.00";"15.00";"16.00";"17.00"},0))</f>
        <v/>
      </c>
      <c r="N353" s="37" t="str">
        <f aca="false">IF(OR($M353="",$K353=""),"",$M353+$K353-1)</f>
        <v/>
      </c>
      <c r="O353" s="37" t="str">
        <f aca="false">IF($A353&lt;&gt;"Seçildi","",IF(OR($M353="",$N353=""),"",IF($N353&gt;10,"⚠ Saat Taşıyor","")))</f>
        <v/>
      </c>
      <c r="P353" s="37" t="str">
        <f aca="false">IF($A353&lt;&gt;"Seçildi","",IF(OR($G353="",$I353="",$M353=""),"",IF(SUMPRODUCT(($A$7:$A$456="Seçildi")*($G$7:$G$456=$G353)*($I$7:$I$456=$I353)*(ROW($A$7:$A$456)&lt;&gt;353)*($M$7:$M$456&lt;=$N353)*($N$7:$N$456&gt;=$M353))&gt;0,"⚠ Çakışma","OK")))</f>
        <v/>
      </c>
      <c r="Q353" s="37" t="str">
        <f aca="false">IF($A353&lt;&gt;"Seçildi","",IF(OR($L353="",$I353="",$M353=""),"",IF(SUMPRODUCT(($A$7:$A$456="Seçildi")*($L$7:$L$456=$L353)*($I$7:$I$456=$I353)*(ROW($A$7:$A$456)&lt;&gt;353)*($M$7:$M$456&lt;=$N353)*($N$7:$N$456&gt;=$M353))&gt;0,"⚠ Çakışma","OK")))</f>
        <v/>
      </c>
      <c r="R353" s="37" t="str">
        <f aca="false">IF($A353&lt;&gt;"Seçildi","",IF(OR($D353="",$I353="",$M353=""),"",IF(SUMPRODUCT(($A$7:$A$456="Seçildi")*($D$7:$D$456=$D353)*($I$7:$I$456=$I353)*(ROW($A$7:$A$456)&lt;&gt;353)*($M$7:$M$456&lt;=$N353)*($N$7:$N$456&gt;=$M353))&gt;0,"⚠ Çakışma","OK")))</f>
        <v/>
      </c>
      <c r="S353" s="37"/>
      <c r="T353" s="37" t="str">
        <f aca="false">IF(OR($A353&lt;&gt;"Seçildi",AND($I353="",$J353="")),"",IF(OR($O353&lt;&gt;"",$P353="⚠ Çakışma",$Q353="⚠ Çakışma",$R353="⚠ Çakışma"),"⚠ Kontrol Et","✓ Uygun"))</f>
        <v/>
      </c>
    </row>
    <row r="354" customFormat="false" ht="13.5" hidden="false" customHeight="true" outlineLevel="0" collapsed="false">
      <c r="A354" s="37" t="n">
        <f aca="false">'1-Ders Havuzu'!K118</f>
        <v>0</v>
      </c>
      <c r="B354" s="37" t="str">
        <f aca="false">IF($A354="Seçildi",IF('1-Ders Havuzu'!C118="","",'1-Ders Havuzu'!C118),"")</f>
        <v/>
      </c>
      <c r="C354" s="38" t="str">
        <f aca="false">IF($A354="Seçildi",IF('1-Ders Havuzu'!D118="","",'1-Ders Havuzu'!D118),"")</f>
        <v/>
      </c>
      <c r="D354" s="37" t="str">
        <f aca="false">IF($A354="Seçildi",IF('1-Ders Havuzu'!B118="","",'1-Ders Havuzu'!B118),"")</f>
        <v/>
      </c>
      <c r="E354" s="37" t="str">
        <f aca="false">IF($A354="Seçildi",IF('1-Ders Havuzu'!A118="","",'1-Ders Havuzu'!A118),"")</f>
        <v/>
      </c>
      <c r="F354" s="37" t="str">
        <f aca="false">IF($A354="Seçildi",IF('1-Ders Havuzu'!H118="","",'1-Ders Havuzu'!H118),"")</f>
        <v/>
      </c>
      <c r="G354" s="37" t="str">
        <f aca="false">IF($A354="Seçildi",IF('2-Ders-Öğr.Elemanı Eşleştirme'!H118="","",'2-Ders-Öğr.Elemanı Eşleştirme'!H118),"")</f>
        <v/>
      </c>
      <c r="H354" s="39" t="n">
        <v>3</v>
      </c>
      <c r="I354" s="36"/>
      <c r="J354" s="36"/>
      <c r="K354" s="36"/>
      <c r="L354" s="36"/>
      <c r="M354" s="37" t="str">
        <f aca="false">IF($J354="","",MATCH($J354,{"08.00";"09.00";"10.00";"11.00";"12.00";"13.00";"14.00";"15.00";"16.00";"17.00"},0))</f>
        <v/>
      </c>
      <c r="N354" s="37" t="str">
        <f aca="false">IF(OR($M354="",$K354=""),"",$M354+$K354-1)</f>
        <v/>
      </c>
      <c r="O354" s="37" t="str">
        <f aca="false">IF($A354&lt;&gt;"Seçildi","",IF(OR($M354="",$N354=""),"",IF($N354&gt;10,"⚠ Saat Taşıyor","")))</f>
        <v/>
      </c>
      <c r="P354" s="37" t="str">
        <f aca="false">IF($A354&lt;&gt;"Seçildi","",IF(OR($G354="",$I354="",$M354=""),"",IF(SUMPRODUCT(($A$7:$A$456="Seçildi")*($G$7:$G$456=$G354)*($I$7:$I$456=$I354)*(ROW($A$7:$A$456)&lt;&gt;354)*($M$7:$M$456&lt;=$N354)*($N$7:$N$456&gt;=$M354))&gt;0,"⚠ Çakışma","OK")))</f>
        <v/>
      </c>
      <c r="Q354" s="37" t="str">
        <f aca="false">IF($A354&lt;&gt;"Seçildi","",IF(OR($L354="",$I354="",$M354=""),"",IF(SUMPRODUCT(($A$7:$A$456="Seçildi")*($L$7:$L$456=$L354)*($I$7:$I$456=$I354)*(ROW($A$7:$A$456)&lt;&gt;354)*($M$7:$M$456&lt;=$N354)*($N$7:$N$456&gt;=$M354))&gt;0,"⚠ Çakışma","OK")))</f>
        <v/>
      </c>
      <c r="R354" s="37" t="str">
        <f aca="false">IF($A354&lt;&gt;"Seçildi","",IF(OR($D354="",$I354="",$M354=""),"",IF(SUMPRODUCT(($A$7:$A$456="Seçildi")*($D$7:$D$456=$D354)*($I$7:$I$456=$I354)*(ROW($A$7:$A$456)&lt;&gt;354)*($M$7:$M$456&lt;=$N354)*($N$7:$N$456&gt;=$M354))&gt;0,"⚠ Çakışma","OK")))</f>
        <v/>
      </c>
      <c r="S354" s="37"/>
      <c r="T354" s="37" t="str">
        <f aca="false">IF(OR($A354&lt;&gt;"Seçildi",AND($I354="",$J354="")),"",IF(OR($O354&lt;&gt;"",$P354="⚠ Çakışma",$Q354="⚠ Çakışma",$R354="⚠ Çakışma"),"⚠ Kontrol Et","✓ Uygun"))</f>
        <v/>
      </c>
    </row>
    <row r="355" customFormat="false" ht="13.5" hidden="false" customHeight="true" outlineLevel="0" collapsed="false">
      <c r="A355" s="33" t="n">
        <f aca="false">'1-Ders Havuzu'!K119</f>
        <v>0</v>
      </c>
      <c r="B355" s="33" t="str">
        <f aca="false">IF($A355="Seçildi",IF('1-Ders Havuzu'!C119="","",'1-Ders Havuzu'!C119),"")</f>
        <v/>
      </c>
      <c r="C355" s="34" t="str">
        <f aca="false">IF($A355="Seçildi",IF('1-Ders Havuzu'!D119="","",'1-Ders Havuzu'!D119),"")</f>
        <v/>
      </c>
      <c r="D355" s="33" t="str">
        <f aca="false">IF($A355="Seçildi",IF('1-Ders Havuzu'!B119="","",'1-Ders Havuzu'!B119),"")</f>
        <v/>
      </c>
      <c r="E355" s="33" t="str">
        <f aca="false">IF($A355="Seçildi",IF('1-Ders Havuzu'!A119="","",'1-Ders Havuzu'!A119),"")</f>
        <v/>
      </c>
      <c r="F355" s="33" t="str">
        <f aca="false">IF($A355="Seçildi",IF('1-Ders Havuzu'!H119="","",'1-Ders Havuzu'!H119),"")</f>
        <v/>
      </c>
      <c r="G355" s="33" t="str">
        <f aca="false">IF($A355="Seçildi",IF('2-Ders-Öğr.Elemanı Eşleştirme'!H119="","",'2-Ders-Öğr.Elemanı Eşleştirme'!H119),"")</f>
        <v/>
      </c>
      <c r="H355" s="35" t="n">
        <v>1</v>
      </c>
      <c r="I355" s="36"/>
      <c r="J355" s="36"/>
      <c r="K355" s="36"/>
      <c r="L355" s="36"/>
      <c r="M355" s="33" t="str">
        <f aca="false">IF($J355="","",MATCH($J355,{"08.00";"09.00";"10.00";"11.00";"12.00";"13.00";"14.00";"15.00";"16.00";"17.00"},0))</f>
        <v/>
      </c>
      <c r="N355" s="33" t="str">
        <f aca="false">IF(OR($M355="",$K355=""),"",$M355+$K355-1)</f>
        <v/>
      </c>
      <c r="O355" s="33" t="str">
        <f aca="false">IF($A355&lt;&gt;"Seçildi","",IF(OR($M355="",$N355=""),"",IF($N355&gt;10,"⚠ Saat Taşıyor","")))</f>
        <v/>
      </c>
      <c r="P355" s="33" t="str">
        <f aca="false">IF($A355&lt;&gt;"Seçildi","",IF(OR($G355="",$I355="",$M355=""),"",IF(SUMPRODUCT(($A$7:$A$456="Seçildi")*($G$7:$G$456=$G355)*($I$7:$I$456=$I355)*(ROW($A$7:$A$456)&lt;&gt;355)*($M$7:$M$456&lt;=$N355)*($N$7:$N$456&gt;=$M355))&gt;0,"⚠ Çakışma","OK")))</f>
        <v/>
      </c>
      <c r="Q355" s="33" t="str">
        <f aca="false">IF($A355&lt;&gt;"Seçildi","",IF(OR($L355="",$I355="",$M355=""),"",IF(SUMPRODUCT(($A$7:$A$456="Seçildi")*($L$7:$L$456=$L355)*($I$7:$I$456=$I355)*(ROW($A$7:$A$456)&lt;&gt;355)*($M$7:$M$456&lt;=$N355)*($N$7:$N$456&gt;=$M355))&gt;0,"⚠ Çakışma","OK")))</f>
        <v/>
      </c>
      <c r="R355" s="33" t="str">
        <f aca="false">IF($A355&lt;&gt;"Seçildi","",IF(OR($D355="",$I355="",$M355=""),"",IF(SUMPRODUCT(($A$7:$A$456="Seçildi")*($D$7:$D$456=$D355)*($I$7:$I$456=$I355)*(ROW($A$7:$A$456)&lt;&gt;355)*($M$7:$M$456&lt;=$N355)*($N$7:$N$456&gt;=$M355))&gt;0,"⚠ Çakışma","OK")))</f>
        <v/>
      </c>
      <c r="S355" s="33" t="str">
        <f aca="false">IF($A355&lt;&gt;"Seçildi","",IF(SUM($K355,$K356,$K357)&lt;&gt;$F355,"⚠ Dağılım: "&amp;SUM($K355:$K357)&amp;"/"&amp;$F355&amp;" saat","✓ Tamam"))</f>
        <v/>
      </c>
      <c r="T355" s="33" t="str">
        <f aca="false">IF($A355&lt;&gt;"Seçildi","",IF(OR($O355&lt;&gt;"",$P355="⚠ Çakışma",$Q355="⚠ Çakışma",$R355="⚠ Çakışma",LEFT($S355&amp;" ",1)="⚠"),"⚠ Kontrol Et","✓ Uygun"))</f>
        <v/>
      </c>
    </row>
    <row r="356" customFormat="false" ht="13.5" hidden="false" customHeight="true" outlineLevel="0" collapsed="false">
      <c r="A356" s="33" t="n">
        <f aca="false">'1-Ders Havuzu'!K119</f>
        <v>0</v>
      </c>
      <c r="B356" s="33" t="str">
        <f aca="false">IF($A356="Seçildi",IF('1-Ders Havuzu'!C119="","",'1-Ders Havuzu'!C119),"")</f>
        <v/>
      </c>
      <c r="C356" s="34" t="str">
        <f aca="false">IF($A356="Seçildi",IF('1-Ders Havuzu'!D119="","",'1-Ders Havuzu'!D119),"")</f>
        <v/>
      </c>
      <c r="D356" s="33" t="str">
        <f aca="false">IF($A356="Seçildi",IF('1-Ders Havuzu'!B119="","",'1-Ders Havuzu'!B119),"")</f>
        <v/>
      </c>
      <c r="E356" s="33" t="str">
        <f aca="false">IF($A356="Seçildi",IF('1-Ders Havuzu'!A119="","",'1-Ders Havuzu'!A119),"")</f>
        <v/>
      </c>
      <c r="F356" s="33" t="str">
        <f aca="false">IF($A356="Seçildi",IF('1-Ders Havuzu'!H119="","",'1-Ders Havuzu'!H119),"")</f>
        <v/>
      </c>
      <c r="G356" s="33" t="str">
        <f aca="false">IF($A356="Seçildi",IF('2-Ders-Öğr.Elemanı Eşleştirme'!H119="","",'2-Ders-Öğr.Elemanı Eşleştirme'!H119),"")</f>
        <v/>
      </c>
      <c r="H356" s="35" t="n">
        <v>2</v>
      </c>
      <c r="I356" s="36"/>
      <c r="J356" s="36"/>
      <c r="K356" s="36"/>
      <c r="L356" s="36"/>
      <c r="M356" s="33" t="str">
        <f aca="false">IF($J356="","",MATCH($J356,{"08.00";"09.00";"10.00";"11.00";"12.00";"13.00";"14.00";"15.00";"16.00";"17.00"},0))</f>
        <v/>
      </c>
      <c r="N356" s="33" t="str">
        <f aca="false">IF(OR($M356="",$K356=""),"",$M356+$K356-1)</f>
        <v/>
      </c>
      <c r="O356" s="33" t="str">
        <f aca="false">IF($A356&lt;&gt;"Seçildi","",IF(OR($M356="",$N356=""),"",IF($N356&gt;10,"⚠ Saat Taşıyor","")))</f>
        <v/>
      </c>
      <c r="P356" s="33" t="str">
        <f aca="false">IF($A356&lt;&gt;"Seçildi","",IF(OR($G356="",$I356="",$M356=""),"",IF(SUMPRODUCT(($A$7:$A$456="Seçildi")*($G$7:$G$456=$G356)*($I$7:$I$456=$I356)*(ROW($A$7:$A$456)&lt;&gt;356)*($M$7:$M$456&lt;=$N356)*($N$7:$N$456&gt;=$M356))&gt;0,"⚠ Çakışma","OK")))</f>
        <v/>
      </c>
      <c r="Q356" s="33" t="str">
        <f aca="false">IF($A356&lt;&gt;"Seçildi","",IF(OR($L356="",$I356="",$M356=""),"",IF(SUMPRODUCT(($A$7:$A$456="Seçildi")*($L$7:$L$456=$L356)*($I$7:$I$456=$I356)*(ROW($A$7:$A$456)&lt;&gt;356)*($M$7:$M$456&lt;=$N356)*($N$7:$N$456&gt;=$M356))&gt;0,"⚠ Çakışma","OK")))</f>
        <v/>
      </c>
      <c r="R356" s="33" t="str">
        <f aca="false">IF($A356&lt;&gt;"Seçildi","",IF(OR($D356="",$I356="",$M356=""),"",IF(SUMPRODUCT(($A$7:$A$456="Seçildi")*($D$7:$D$456=$D356)*($I$7:$I$456=$I356)*(ROW($A$7:$A$456)&lt;&gt;356)*($M$7:$M$456&lt;=$N356)*($N$7:$N$456&gt;=$M356))&gt;0,"⚠ Çakışma","OK")))</f>
        <v/>
      </c>
      <c r="S356" s="33"/>
      <c r="T356" s="33" t="str">
        <f aca="false">IF(OR($A356&lt;&gt;"Seçildi",AND($I356="",$J356="")),"",IF(OR($O356&lt;&gt;"",$P356="⚠ Çakışma",$Q356="⚠ Çakışma",$R356="⚠ Çakışma"),"⚠ Kontrol Et","✓ Uygun"))</f>
        <v/>
      </c>
    </row>
    <row r="357" customFormat="false" ht="13.5" hidden="false" customHeight="true" outlineLevel="0" collapsed="false">
      <c r="A357" s="33" t="n">
        <f aca="false">'1-Ders Havuzu'!K119</f>
        <v>0</v>
      </c>
      <c r="B357" s="33" t="str">
        <f aca="false">IF($A357="Seçildi",IF('1-Ders Havuzu'!C119="","",'1-Ders Havuzu'!C119),"")</f>
        <v/>
      </c>
      <c r="C357" s="34" t="str">
        <f aca="false">IF($A357="Seçildi",IF('1-Ders Havuzu'!D119="","",'1-Ders Havuzu'!D119),"")</f>
        <v/>
      </c>
      <c r="D357" s="33" t="str">
        <f aca="false">IF($A357="Seçildi",IF('1-Ders Havuzu'!B119="","",'1-Ders Havuzu'!B119),"")</f>
        <v/>
      </c>
      <c r="E357" s="33" t="str">
        <f aca="false">IF($A357="Seçildi",IF('1-Ders Havuzu'!A119="","",'1-Ders Havuzu'!A119),"")</f>
        <v/>
      </c>
      <c r="F357" s="33" t="str">
        <f aca="false">IF($A357="Seçildi",IF('1-Ders Havuzu'!H119="","",'1-Ders Havuzu'!H119),"")</f>
        <v/>
      </c>
      <c r="G357" s="33" t="str">
        <f aca="false">IF($A357="Seçildi",IF('2-Ders-Öğr.Elemanı Eşleştirme'!H119="","",'2-Ders-Öğr.Elemanı Eşleştirme'!H119),"")</f>
        <v/>
      </c>
      <c r="H357" s="35" t="n">
        <v>3</v>
      </c>
      <c r="I357" s="36"/>
      <c r="J357" s="36"/>
      <c r="K357" s="36"/>
      <c r="L357" s="36"/>
      <c r="M357" s="33" t="str">
        <f aca="false">IF($J357="","",MATCH($J357,{"08.00";"09.00";"10.00";"11.00";"12.00";"13.00";"14.00";"15.00";"16.00";"17.00"},0))</f>
        <v/>
      </c>
      <c r="N357" s="33" t="str">
        <f aca="false">IF(OR($M357="",$K357=""),"",$M357+$K357-1)</f>
        <v/>
      </c>
      <c r="O357" s="33" t="str">
        <f aca="false">IF($A357&lt;&gt;"Seçildi","",IF(OR($M357="",$N357=""),"",IF($N357&gt;10,"⚠ Saat Taşıyor","")))</f>
        <v/>
      </c>
      <c r="P357" s="33" t="str">
        <f aca="false">IF($A357&lt;&gt;"Seçildi","",IF(OR($G357="",$I357="",$M357=""),"",IF(SUMPRODUCT(($A$7:$A$456="Seçildi")*($G$7:$G$456=$G357)*($I$7:$I$456=$I357)*(ROW($A$7:$A$456)&lt;&gt;357)*($M$7:$M$456&lt;=$N357)*($N$7:$N$456&gt;=$M357))&gt;0,"⚠ Çakışma","OK")))</f>
        <v/>
      </c>
      <c r="Q357" s="33" t="str">
        <f aca="false">IF($A357&lt;&gt;"Seçildi","",IF(OR($L357="",$I357="",$M357=""),"",IF(SUMPRODUCT(($A$7:$A$456="Seçildi")*($L$7:$L$456=$L357)*($I$7:$I$456=$I357)*(ROW($A$7:$A$456)&lt;&gt;357)*($M$7:$M$456&lt;=$N357)*($N$7:$N$456&gt;=$M357))&gt;0,"⚠ Çakışma","OK")))</f>
        <v/>
      </c>
      <c r="R357" s="33" t="str">
        <f aca="false">IF($A357&lt;&gt;"Seçildi","",IF(OR($D357="",$I357="",$M357=""),"",IF(SUMPRODUCT(($A$7:$A$456="Seçildi")*($D$7:$D$456=$D357)*($I$7:$I$456=$I357)*(ROW($A$7:$A$456)&lt;&gt;357)*($M$7:$M$456&lt;=$N357)*($N$7:$N$456&gt;=$M357))&gt;0,"⚠ Çakışma","OK")))</f>
        <v/>
      </c>
      <c r="S357" s="33"/>
      <c r="T357" s="33" t="str">
        <f aca="false">IF(OR($A357&lt;&gt;"Seçildi",AND($I357="",$J357="")),"",IF(OR($O357&lt;&gt;"",$P357="⚠ Çakışma",$Q357="⚠ Çakışma",$R357="⚠ Çakışma"),"⚠ Kontrol Et","✓ Uygun"))</f>
        <v/>
      </c>
    </row>
    <row r="358" customFormat="false" ht="13.5" hidden="false" customHeight="true" outlineLevel="0" collapsed="false">
      <c r="A358" s="37" t="n">
        <f aca="false">'1-Ders Havuzu'!K120</f>
        <v>0</v>
      </c>
      <c r="B358" s="37" t="str">
        <f aca="false">IF($A358="Seçildi",IF('1-Ders Havuzu'!C120="","",'1-Ders Havuzu'!C120),"")</f>
        <v/>
      </c>
      <c r="C358" s="38" t="str">
        <f aca="false">IF($A358="Seçildi",IF('1-Ders Havuzu'!D120="","",'1-Ders Havuzu'!D120),"")</f>
        <v/>
      </c>
      <c r="D358" s="37" t="str">
        <f aca="false">IF($A358="Seçildi",IF('1-Ders Havuzu'!B120="","",'1-Ders Havuzu'!B120),"")</f>
        <v/>
      </c>
      <c r="E358" s="37" t="str">
        <f aca="false">IF($A358="Seçildi",IF('1-Ders Havuzu'!A120="","",'1-Ders Havuzu'!A120),"")</f>
        <v/>
      </c>
      <c r="F358" s="37" t="str">
        <f aca="false">IF($A358="Seçildi",IF('1-Ders Havuzu'!H120="","",'1-Ders Havuzu'!H120),"")</f>
        <v/>
      </c>
      <c r="G358" s="37" t="str">
        <f aca="false">IF($A358="Seçildi",IF('2-Ders-Öğr.Elemanı Eşleştirme'!H120="","",'2-Ders-Öğr.Elemanı Eşleştirme'!H120),"")</f>
        <v/>
      </c>
      <c r="H358" s="39" t="n">
        <v>1</v>
      </c>
      <c r="I358" s="36"/>
      <c r="J358" s="36"/>
      <c r="K358" s="36"/>
      <c r="L358" s="36"/>
      <c r="M358" s="37" t="str">
        <f aca="false">IF($J358="","",MATCH($J358,{"08.00";"09.00";"10.00";"11.00";"12.00";"13.00";"14.00";"15.00";"16.00";"17.00"},0))</f>
        <v/>
      </c>
      <c r="N358" s="37" t="str">
        <f aca="false">IF(OR($M358="",$K358=""),"",$M358+$K358-1)</f>
        <v/>
      </c>
      <c r="O358" s="37" t="str">
        <f aca="false">IF($A358&lt;&gt;"Seçildi","",IF(OR($M358="",$N358=""),"",IF($N358&gt;10,"⚠ Saat Taşıyor","")))</f>
        <v/>
      </c>
      <c r="P358" s="37" t="str">
        <f aca="false">IF($A358&lt;&gt;"Seçildi","",IF(OR($G358="",$I358="",$M358=""),"",IF(SUMPRODUCT(($A$7:$A$456="Seçildi")*($G$7:$G$456=$G358)*($I$7:$I$456=$I358)*(ROW($A$7:$A$456)&lt;&gt;358)*($M$7:$M$456&lt;=$N358)*($N$7:$N$456&gt;=$M358))&gt;0,"⚠ Çakışma","OK")))</f>
        <v/>
      </c>
      <c r="Q358" s="37" t="str">
        <f aca="false">IF($A358&lt;&gt;"Seçildi","",IF(OR($L358="",$I358="",$M358=""),"",IF(SUMPRODUCT(($A$7:$A$456="Seçildi")*($L$7:$L$456=$L358)*($I$7:$I$456=$I358)*(ROW($A$7:$A$456)&lt;&gt;358)*($M$7:$M$456&lt;=$N358)*($N$7:$N$456&gt;=$M358))&gt;0,"⚠ Çakışma","OK")))</f>
        <v/>
      </c>
      <c r="R358" s="37" t="str">
        <f aca="false">IF($A358&lt;&gt;"Seçildi","",IF(OR($D358="",$I358="",$M358=""),"",IF(SUMPRODUCT(($A$7:$A$456="Seçildi")*($D$7:$D$456=$D358)*($I$7:$I$456=$I358)*(ROW($A$7:$A$456)&lt;&gt;358)*($M$7:$M$456&lt;=$N358)*($N$7:$N$456&gt;=$M358))&gt;0,"⚠ Çakışma","OK")))</f>
        <v/>
      </c>
      <c r="S358" s="37" t="str">
        <f aca="false">IF($A358&lt;&gt;"Seçildi","",IF(SUM($K358,$K359,$K360)&lt;&gt;$F358,"⚠ Dağılım: "&amp;SUM($K358:$K360)&amp;"/"&amp;$F358&amp;" saat","✓ Tamam"))</f>
        <v/>
      </c>
      <c r="T358" s="37" t="str">
        <f aca="false">IF($A358&lt;&gt;"Seçildi","",IF(OR($O358&lt;&gt;"",$P358="⚠ Çakışma",$Q358="⚠ Çakışma",$R358="⚠ Çakışma",LEFT($S358&amp;" ",1)="⚠"),"⚠ Kontrol Et","✓ Uygun"))</f>
        <v/>
      </c>
    </row>
    <row r="359" customFormat="false" ht="13.5" hidden="false" customHeight="true" outlineLevel="0" collapsed="false">
      <c r="A359" s="37" t="n">
        <f aca="false">'1-Ders Havuzu'!K120</f>
        <v>0</v>
      </c>
      <c r="B359" s="37" t="str">
        <f aca="false">IF($A359="Seçildi",IF('1-Ders Havuzu'!C120="","",'1-Ders Havuzu'!C120),"")</f>
        <v/>
      </c>
      <c r="C359" s="38" t="str">
        <f aca="false">IF($A359="Seçildi",IF('1-Ders Havuzu'!D120="","",'1-Ders Havuzu'!D120),"")</f>
        <v/>
      </c>
      <c r="D359" s="37" t="str">
        <f aca="false">IF($A359="Seçildi",IF('1-Ders Havuzu'!B120="","",'1-Ders Havuzu'!B120),"")</f>
        <v/>
      </c>
      <c r="E359" s="37" t="str">
        <f aca="false">IF($A359="Seçildi",IF('1-Ders Havuzu'!A120="","",'1-Ders Havuzu'!A120),"")</f>
        <v/>
      </c>
      <c r="F359" s="37" t="str">
        <f aca="false">IF($A359="Seçildi",IF('1-Ders Havuzu'!H120="","",'1-Ders Havuzu'!H120),"")</f>
        <v/>
      </c>
      <c r="G359" s="37" t="str">
        <f aca="false">IF($A359="Seçildi",IF('2-Ders-Öğr.Elemanı Eşleştirme'!H120="","",'2-Ders-Öğr.Elemanı Eşleştirme'!H120),"")</f>
        <v/>
      </c>
      <c r="H359" s="39" t="n">
        <v>2</v>
      </c>
      <c r="I359" s="36"/>
      <c r="J359" s="36"/>
      <c r="K359" s="36"/>
      <c r="L359" s="36"/>
      <c r="M359" s="37" t="str">
        <f aca="false">IF($J359="","",MATCH($J359,{"08.00";"09.00";"10.00";"11.00";"12.00";"13.00";"14.00";"15.00";"16.00";"17.00"},0))</f>
        <v/>
      </c>
      <c r="N359" s="37" t="str">
        <f aca="false">IF(OR($M359="",$K359=""),"",$M359+$K359-1)</f>
        <v/>
      </c>
      <c r="O359" s="37" t="str">
        <f aca="false">IF($A359&lt;&gt;"Seçildi","",IF(OR($M359="",$N359=""),"",IF($N359&gt;10,"⚠ Saat Taşıyor","")))</f>
        <v/>
      </c>
      <c r="P359" s="37" t="str">
        <f aca="false">IF($A359&lt;&gt;"Seçildi","",IF(OR($G359="",$I359="",$M359=""),"",IF(SUMPRODUCT(($A$7:$A$456="Seçildi")*($G$7:$G$456=$G359)*($I$7:$I$456=$I359)*(ROW($A$7:$A$456)&lt;&gt;359)*($M$7:$M$456&lt;=$N359)*($N$7:$N$456&gt;=$M359))&gt;0,"⚠ Çakışma","OK")))</f>
        <v/>
      </c>
      <c r="Q359" s="37" t="str">
        <f aca="false">IF($A359&lt;&gt;"Seçildi","",IF(OR($L359="",$I359="",$M359=""),"",IF(SUMPRODUCT(($A$7:$A$456="Seçildi")*($L$7:$L$456=$L359)*($I$7:$I$456=$I359)*(ROW($A$7:$A$456)&lt;&gt;359)*($M$7:$M$456&lt;=$N359)*($N$7:$N$456&gt;=$M359))&gt;0,"⚠ Çakışma","OK")))</f>
        <v/>
      </c>
      <c r="R359" s="37" t="str">
        <f aca="false">IF($A359&lt;&gt;"Seçildi","",IF(OR($D359="",$I359="",$M359=""),"",IF(SUMPRODUCT(($A$7:$A$456="Seçildi")*($D$7:$D$456=$D359)*($I$7:$I$456=$I359)*(ROW($A$7:$A$456)&lt;&gt;359)*($M$7:$M$456&lt;=$N359)*($N$7:$N$456&gt;=$M359))&gt;0,"⚠ Çakışma","OK")))</f>
        <v/>
      </c>
      <c r="S359" s="37"/>
      <c r="T359" s="37" t="str">
        <f aca="false">IF(OR($A359&lt;&gt;"Seçildi",AND($I359="",$J359="")),"",IF(OR($O359&lt;&gt;"",$P359="⚠ Çakışma",$Q359="⚠ Çakışma",$R359="⚠ Çakışma"),"⚠ Kontrol Et","✓ Uygun"))</f>
        <v/>
      </c>
    </row>
    <row r="360" customFormat="false" ht="13.5" hidden="false" customHeight="true" outlineLevel="0" collapsed="false">
      <c r="A360" s="37" t="n">
        <f aca="false">'1-Ders Havuzu'!K120</f>
        <v>0</v>
      </c>
      <c r="B360" s="37" t="str">
        <f aca="false">IF($A360="Seçildi",IF('1-Ders Havuzu'!C120="","",'1-Ders Havuzu'!C120),"")</f>
        <v/>
      </c>
      <c r="C360" s="38" t="str">
        <f aca="false">IF($A360="Seçildi",IF('1-Ders Havuzu'!D120="","",'1-Ders Havuzu'!D120),"")</f>
        <v/>
      </c>
      <c r="D360" s="37" t="str">
        <f aca="false">IF($A360="Seçildi",IF('1-Ders Havuzu'!B120="","",'1-Ders Havuzu'!B120),"")</f>
        <v/>
      </c>
      <c r="E360" s="37" t="str">
        <f aca="false">IF($A360="Seçildi",IF('1-Ders Havuzu'!A120="","",'1-Ders Havuzu'!A120),"")</f>
        <v/>
      </c>
      <c r="F360" s="37" t="str">
        <f aca="false">IF($A360="Seçildi",IF('1-Ders Havuzu'!H120="","",'1-Ders Havuzu'!H120),"")</f>
        <v/>
      </c>
      <c r="G360" s="37" t="str">
        <f aca="false">IF($A360="Seçildi",IF('2-Ders-Öğr.Elemanı Eşleştirme'!H120="","",'2-Ders-Öğr.Elemanı Eşleştirme'!H120),"")</f>
        <v/>
      </c>
      <c r="H360" s="39" t="n">
        <v>3</v>
      </c>
      <c r="I360" s="36"/>
      <c r="J360" s="36"/>
      <c r="K360" s="36"/>
      <c r="L360" s="36"/>
      <c r="M360" s="37" t="str">
        <f aca="false">IF($J360="","",MATCH($J360,{"08.00";"09.00";"10.00";"11.00";"12.00";"13.00";"14.00";"15.00";"16.00";"17.00"},0))</f>
        <v/>
      </c>
      <c r="N360" s="37" t="str">
        <f aca="false">IF(OR($M360="",$K360=""),"",$M360+$K360-1)</f>
        <v/>
      </c>
      <c r="O360" s="37" t="str">
        <f aca="false">IF($A360&lt;&gt;"Seçildi","",IF(OR($M360="",$N360=""),"",IF($N360&gt;10,"⚠ Saat Taşıyor","")))</f>
        <v/>
      </c>
      <c r="P360" s="37" t="str">
        <f aca="false">IF($A360&lt;&gt;"Seçildi","",IF(OR($G360="",$I360="",$M360=""),"",IF(SUMPRODUCT(($A$7:$A$456="Seçildi")*($G$7:$G$456=$G360)*($I$7:$I$456=$I360)*(ROW($A$7:$A$456)&lt;&gt;360)*($M$7:$M$456&lt;=$N360)*($N$7:$N$456&gt;=$M360))&gt;0,"⚠ Çakışma","OK")))</f>
        <v/>
      </c>
      <c r="Q360" s="37" t="str">
        <f aca="false">IF($A360&lt;&gt;"Seçildi","",IF(OR($L360="",$I360="",$M360=""),"",IF(SUMPRODUCT(($A$7:$A$456="Seçildi")*($L$7:$L$456=$L360)*($I$7:$I$456=$I360)*(ROW($A$7:$A$456)&lt;&gt;360)*($M$7:$M$456&lt;=$N360)*($N$7:$N$456&gt;=$M360))&gt;0,"⚠ Çakışma","OK")))</f>
        <v/>
      </c>
      <c r="R360" s="37" t="str">
        <f aca="false">IF($A360&lt;&gt;"Seçildi","",IF(OR($D360="",$I360="",$M360=""),"",IF(SUMPRODUCT(($A$7:$A$456="Seçildi")*($D$7:$D$456=$D360)*($I$7:$I$456=$I360)*(ROW($A$7:$A$456)&lt;&gt;360)*($M$7:$M$456&lt;=$N360)*($N$7:$N$456&gt;=$M360))&gt;0,"⚠ Çakışma","OK")))</f>
        <v/>
      </c>
      <c r="S360" s="37"/>
      <c r="T360" s="37" t="str">
        <f aca="false">IF(OR($A360&lt;&gt;"Seçildi",AND($I360="",$J360="")),"",IF(OR($O360&lt;&gt;"",$P360="⚠ Çakışma",$Q360="⚠ Çakışma",$R360="⚠ Çakışma"),"⚠ Kontrol Et","✓ Uygun"))</f>
        <v/>
      </c>
    </row>
    <row r="361" customFormat="false" ht="13.5" hidden="false" customHeight="true" outlineLevel="0" collapsed="false">
      <c r="A361" s="33" t="n">
        <f aca="false">'1-Ders Havuzu'!K121</f>
        <v>0</v>
      </c>
      <c r="B361" s="33" t="str">
        <f aca="false">IF($A361="Seçildi",IF('1-Ders Havuzu'!C121="","",'1-Ders Havuzu'!C121),"")</f>
        <v/>
      </c>
      <c r="C361" s="34" t="str">
        <f aca="false">IF($A361="Seçildi",IF('1-Ders Havuzu'!D121="","",'1-Ders Havuzu'!D121),"")</f>
        <v/>
      </c>
      <c r="D361" s="33" t="str">
        <f aca="false">IF($A361="Seçildi",IF('1-Ders Havuzu'!B121="","",'1-Ders Havuzu'!B121),"")</f>
        <v/>
      </c>
      <c r="E361" s="33" t="str">
        <f aca="false">IF($A361="Seçildi",IF('1-Ders Havuzu'!A121="","",'1-Ders Havuzu'!A121),"")</f>
        <v/>
      </c>
      <c r="F361" s="33" t="str">
        <f aca="false">IF($A361="Seçildi",IF('1-Ders Havuzu'!H121="","",'1-Ders Havuzu'!H121),"")</f>
        <v/>
      </c>
      <c r="G361" s="33" t="str">
        <f aca="false">IF($A361="Seçildi",IF('2-Ders-Öğr.Elemanı Eşleştirme'!H121="","",'2-Ders-Öğr.Elemanı Eşleştirme'!H121),"")</f>
        <v/>
      </c>
      <c r="H361" s="35" t="n">
        <v>1</v>
      </c>
      <c r="I361" s="36"/>
      <c r="J361" s="36"/>
      <c r="K361" s="36"/>
      <c r="L361" s="36"/>
      <c r="M361" s="33" t="str">
        <f aca="false">IF($J361="","",MATCH($J361,{"08.00";"09.00";"10.00";"11.00";"12.00";"13.00";"14.00";"15.00";"16.00";"17.00"},0))</f>
        <v/>
      </c>
      <c r="N361" s="33" t="str">
        <f aca="false">IF(OR($M361="",$K361=""),"",$M361+$K361-1)</f>
        <v/>
      </c>
      <c r="O361" s="33" t="str">
        <f aca="false">IF($A361&lt;&gt;"Seçildi","",IF(OR($M361="",$N361=""),"",IF($N361&gt;10,"⚠ Saat Taşıyor","")))</f>
        <v/>
      </c>
      <c r="P361" s="33" t="str">
        <f aca="false">IF($A361&lt;&gt;"Seçildi","",IF(OR($G361="",$I361="",$M361=""),"",IF(SUMPRODUCT(($A$7:$A$456="Seçildi")*($G$7:$G$456=$G361)*($I$7:$I$456=$I361)*(ROW($A$7:$A$456)&lt;&gt;361)*($M$7:$M$456&lt;=$N361)*($N$7:$N$456&gt;=$M361))&gt;0,"⚠ Çakışma","OK")))</f>
        <v/>
      </c>
      <c r="Q361" s="33" t="str">
        <f aca="false">IF($A361&lt;&gt;"Seçildi","",IF(OR($L361="",$I361="",$M361=""),"",IF(SUMPRODUCT(($A$7:$A$456="Seçildi")*($L$7:$L$456=$L361)*($I$7:$I$456=$I361)*(ROW($A$7:$A$456)&lt;&gt;361)*($M$7:$M$456&lt;=$N361)*($N$7:$N$456&gt;=$M361))&gt;0,"⚠ Çakışma","OK")))</f>
        <v/>
      </c>
      <c r="R361" s="33" t="str">
        <f aca="false">IF($A361&lt;&gt;"Seçildi","",IF(OR($D361="",$I361="",$M361=""),"",IF(SUMPRODUCT(($A$7:$A$456="Seçildi")*($D$7:$D$456=$D361)*($I$7:$I$456=$I361)*(ROW($A$7:$A$456)&lt;&gt;361)*($M$7:$M$456&lt;=$N361)*($N$7:$N$456&gt;=$M361))&gt;0,"⚠ Çakışma","OK")))</f>
        <v/>
      </c>
      <c r="S361" s="33" t="str">
        <f aca="false">IF($A361&lt;&gt;"Seçildi","",IF(SUM($K361,$K362,$K363)&lt;&gt;$F361,"⚠ Dağılım: "&amp;SUM($K361:$K363)&amp;"/"&amp;$F361&amp;" saat","✓ Tamam"))</f>
        <v/>
      </c>
      <c r="T361" s="33" t="str">
        <f aca="false">IF($A361&lt;&gt;"Seçildi","",IF(OR($O361&lt;&gt;"",$P361="⚠ Çakışma",$Q361="⚠ Çakışma",$R361="⚠ Çakışma",LEFT($S361&amp;" ",1)="⚠"),"⚠ Kontrol Et","✓ Uygun"))</f>
        <v/>
      </c>
    </row>
    <row r="362" customFormat="false" ht="13.5" hidden="false" customHeight="true" outlineLevel="0" collapsed="false">
      <c r="A362" s="33" t="n">
        <f aca="false">'1-Ders Havuzu'!K121</f>
        <v>0</v>
      </c>
      <c r="B362" s="33" t="str">
        <f aca="false">IF($A362="Seçildi",IF('1-Ders Havuzu'!C121="","",'1-Ders Havuzu'!C121),"")</f>
        <v/>
      </c>
      <c r="C362" s="34" t="str">
        <f aca="false">IF($A362="Seçildi",IF('1-Ders Havuzu'!D121="","",'1-Ders Havuzu'!D121),"")</f>
        <v/>
      </c>
      <c r="D362" s="33" t="str">
        <f aca="false">IF($A362="Seçildi",IF('1-Ders Havuzu'!B121="","",'1-Ders Havuzu'!B121),"")</f>
        <v/>
      </c>
      <c r="E362" s="33" t="str">
        <f aca="false">IF($A362="Seçildi",IF('1-Ders Havuzu'!A121="","",'1-Ders Havuzu'!A121),"")</f>
        <v/>
      </c>
      <c r="F362" s="33" t="str">
        <f aca="false">IF($A362="Seçildi",IF('1-Ders Havuzu'!H121="","",'1-Ders Havuzu'!H121),"")</f>
        <v/>
      </c>
      <c r="G362" s="33" t="str">
        <f aca="false">IF($A362="Seçildi",IF('2-Ders-Öğr.Elemanı Eşleştirme'!H121="","",'2-Ders-Öğr.Elemanı Eşleştirme'!H121),"")</f>
        <v/>
      </c>
      <c r="H362" s="35" t="n">
        <v>2</v>
      </c>
      <c r="I362" s="36"/>
      <c r="J362" s="36"/>
      <c r="K362" s="36"/>
      <c r="L362" s="36"/>
      <c r="M362" s="33" t="str">
        <f aca="false">IF($J362="","",MATCH($J362,{"08.00";"09.00";"10.00";"11.00";"12.00";"13.00";"14.00";"15.00";"16.00";"17.00"},0))</f>
        <v/>
      </c>
      <c r="N362" s="33" t="str">
        <f aca="false">IF(OR($M362="",$K362=""),"",$M362+$K362-1)</f>
        <v/>
      </c>
      <c r="O362" s="33" t="str">
        <f aca="false">IF($A362&lt;&gt;"Seçildi","",IF(OR($M362="",$N362=""),"",IF($N362&gt;10,"⚠ Saat Taşıyor","")))</f>
        <v/>
      </c>
      <c r="P362" s="33" t="str">
        <f aca="false">IF($A362&lt;&gt;"Seçildi","",IF(OR($G362="",$I362="",$M362=""),"",IF(SUMPRODUCT(($A$7:$A$456="Seçildi")*($G$7:$G$456=$G362)*($I$7:$I$456=$I362)*(ROW($A$7:$A$456)&lt;&gt;362)*($M$7:$M$456&lt;=$N362)*($N$7:$N$456&gt;=$M362))&gt;0,"⚠ Çakışma","OK")))</f>
        <v/>
      </c>
      <c r="Q362" s="33" t="str">
        <f aca="false">IF($A362&lt;&gt;"Seçildi","",IF(OR($L362="",$I362="",$M362=""),"",IF(SUMPRODUCT(($A$7:$A$456="Seçildi")*($L$7:$L$456=$L362)*($I$7:$I$456=$I362)*(ROW($A$7:$A$456)&lt;&gt;362)*($M$7:$M$456&lt;=$N362)*($N$7:$N$456&gt;=$M362))&gt;0,"⚠ Çakışma","OK")))</f>
        <v/>
      </c>
      <c r="R362" s="33" t="str">
        <f aca="false">IF($A362&lt;&gt;"Seçildi","",IF(OR($D362="",$I362="",$M362=""),"",IF(SUMPRODUCT(($A$7:$A$456="Seçildi")*($D$7:$D$456=$D362)*($I$7:$I$456=$I362)*(ROW($A$7:$A$456)&lt;&gt;362)*($M$7:$M$456&lt;=$N362)*($N$7:$N$456&gt;=$M362))&gt;0,"⚠ Çakışma","OK")))</f>
        <v/>
      </c>
      <c r="S362" s="33"/>
      <c r="T362" s="33" t="str">
        <f aca="false">IF(OR($A362&lt;&gt;"Seçildi",AND($I362="",$J362="")),"",IF(OR($O362&lt;&gt;"",$P362="⚠ Çakışma",$Q362="⚠ Çakışma",$R362="⚠ Çakışma"),"⚠ Kontrol Et","✓ Uygun"))</f>
        <v/>
      </c>
    </row>
    <row r="363" customFormat="false" ht="13.5" hidden="false" customHeight="true" outlineLevel="0" collapsed="false">
      <c r="A363" s="33" t="n">
        <f aca="false">'1-Ders Havuzu'!K121</f>
        <v>0</v>
      </c>
      <c r="B363" s="33" t="str">
        <f aca="false">IF($A363="Seçildi",IF('1-Ders Havuzu'!C121="","",'1-Ders Havuzu'!C121),"")</f>
        <v/>
      </c>
      <c r="C363" s="34" t="str">
        <f aca="false">IF($A363="Seçildi",IF('1-Ders Havuzu'!D121="","",'1-Ders Havuzu'!D121),"")</f>
        <v/>
      </c>
      <c r="D363" s="33" t="str">
        <f aca="false">IF($A363="Seçildi",IF('1-Ders Havuzu'!B121="","",'1-Ders Havuzu'!B121),"")</f>
        <v/>
      </c>
      <c r="E363" s="33" t="str">
        <f aca="false">IF($A363="Seçildi",IF('1-Ders Havuzu'!A121="","",'1-Ders Havuzu'!A121),"")</f>
        <v/>
      </c>
      <c r="F363" s="33" t="str">
        <f aca="false">IF($A363="Seçildi",IF('1-Ders Havuzu'!H121="","",'1-Ders Havuzu'!H121),"")</f>
        <v/>
      </c>
      <c r="G363" s="33" t="str">
        <f aca="false">IF($A363="Seçildi",IF('2-Ders-Öğr.Elemanı Eşleştirme'!H121="","",'2-Ders-Öğr.Elemanı Eşleştirme'!H121),"")</f>
        <v/>
      </c>
      <c r="H363" s="35" t="n">
        <v>3</v>
      </c>
      <c r="I363" s="36"/>
      <c r="J363" s="36"/>
      <c r="K363" s="36"/>
      <c r="L363" s="36"/>
      <c r="M363" s="33" t="str">
        <f aca="false">IF($J363="","",MATCH($J363,{"08.00";"09.00";"10.00";"11.00";"12.00";"13.00";"14.00";"15.00";"16.00";"17.00"},0))</f>
        <v/>
      </c>
      <c r="N363" s="33" t="str">
        <f aca="false">IF(OR($M363="",$K363=""),"",$M363+$K363-1)</f>
        <v/>
      </c>
      <c r="O363" s="33" t="str">
        <f aca="false">IF($A363&lt;&gt;"Seçildi","",IF(OR($M363="",$N363=""),"",IF($N363&gt;10,"⚠ Saat Taşıyor","")))</f>
        <v/>
      </c>
      <c r="P363" s="33" t="str">
        <f aca="false">IF($A363&lt;&gt;"Seçildi","",IF(OR($G363="",$I363="",$M363=""),"",IF(SUMPRODUCT(($A$7:$A$456="Seçildi")*($G$7:$G$456=$G363)*($I$7:$I$456=$I363)*(ROW($A$7:$A$456)&lt;&gt;363)*($M$7:$M$456&lt;=$N363)*($N$7:$N$456&gt;=$M363))&gt;0,"⚠ Çakışma","OK")))</f>
        <v/>
      </c>
      <c r="Q363" s="33" t="str">
        <f aca="false">IF($A363&lt;&gt;"Seçildi","",IF(OR($L363="",$I363="",$M363=""),"",IF(SUMPRODUCT(($A$7:$A$456="Seçildi")*($L$7:$L$456=$L363)*($I$7:$I$456=$I363)*(ROW($A$7:$A$456)&lt;&gt;363)*($M$7:$M$456&lt;=$N363)*($N$7:$N$456&gt;=$M363))&gt;0,"⚠ Çakışma","OK")))</f>
        <v/>
      </c>
      <c r="R363" s="33" t="str">
        <f aca="false">IF($A363&lt;&gt;"Seçildi","",IF(OR($D363="",$I363="",$M363=""),"",IF(SUMPRODUCT(($A$7:$A$456="Seçildi")*($D$7:$D$456=$D363)*($I$7:$I$456=$I363)*(ROW($A$7:$A$456)&lt;&gt;363)*($M$7:$M$456&lt;=$N363)*($N$7:$N$456&gt;=$M363))&gt;0,"⚠ Çakışma","OK")))</f>
        <v/>
      </c>
      <c r="S363" s="33"/>
      <c r="T363" s="33" t="str">
        <f aca="false">IF(OR($A363&lt;&gt;"Seçildi",AND($I363="",$J363="")),"",IF(OR($O363&lt;&gt;"",$P363="⚠ Çakışma",$Q363="⚠ Çakışma",$R363="⚠ Çakışma"),"⚠ Kontrol Et","✓ Uygun"))</f>
        <v/>
      </c>
    </row>
    <row r="364" customFormat="false" ht="13.5" hidden="false" customHeight="true" outlineLevel="0" collapsed="false">
      <c r="A364" s="37" t="n">
        <f aca="false">'1-Ders Havuzu'!K122</f>
        <v>0</v>
      </c>
      <c r="B364" s="37" t="str">
        <f aca="false">IF($A364="Seçildi",IF('1-Ders Havuzu'!C122="","",'1-Ders Havuzu'!C122),"")</f>
        <v/>
      </c>
      <c r="C364" s="38" t="str">
        <f aca="false">IF($A364="Seçildi",IF('1-Ders Havuzu'!D122="","",'1-Ders Havuzu'!D122),"")</f>
        <v/>
      </c>
      <c r="D364" s="37" t="str">
        <f aca="false">IF($A364="Seçildi",IF('1-Ders Havuzu'!B122="","",'1-Ders Havuzu'!B122),"")</f>
        <v/>
      </c>
      <c r="E364" s="37" t="str">
        <f aca="false">IF($A364="Seçildi",IF('1-Ders Havuzu'!A122="","",'1-Ders Havuzu'!A122),"")</f>
        <v/>
      </c>
      <c r="F364" s="37" t="str">
        <f aca="false">IF($A364="Seçildi",IF('1-Ders Havuzu'!H122="","",'1-Ders Havuzu'!H122),"")</f>
        <v/>
      </c>
      <c r="G364" s="37" t="str">
        <f aca="false">IF($A364="Seçildi",IF('2-Ders-Öğr.Elemanı Eşleştirme'!H122="","",'2-Ders-Öğr.Elemanı Eşleştirme'!H122),"")</f>
        <v/>
      </c>
      <c r="H364" s="39" t="n">
        <v>1</v>
      </c>
      <c r="I364" s="36"/>
      <c r="J364" s="36"/>
      <c r="K364" s="36"/>
      <c r="L364" s="36"/>
      <c r="M364" s="37" t="str">
        <f aca="false">IF($J364="","",MATCH($J364,{"08.00";"09.00";"10.00";"11.00";"12.00";"13.00";"14.00";"15.00";"16.00";"17.00"},0))</f>
        <v/>
      </c>
      <c r="N364" s="37" t="str">
        <f aca="false">IF(OR($M364="",$K364=""),"",$M364+$K364-1)</f>
        <v/>
      </c>
      <c r="O364" s="37" t="str">
        <f aca="false">IF($A364&lt;&gt;"Seçildi","",IF(OR($M364="",$N364=""),"",IF($N364&gt;10,"⚠ Saat Taşıyor","")))</f>
        <v/>
      </c>
      <c r="P364" s="37" t="str">
        <f aca="false">IF($A364&lt;&gt;"Seçildi","",IF(OR($G364="",$I364="",$M364=""),"",IF(SUMPRODUCT(($A$7:$A$456="Seçildi")*($G$7:$G$456=$G364)*($I$7:$I$456=$I364)*(ROW($A$7:$A$456)&lt;&gt;364)*($M$7:$M$456&lt;=$N364)*($N$7:$N$456&gt;=$M364))&gt;0,"⚠ Çakışma","OK")))</f>
        <v/>
      </c>
      <c r="Q364" s="37" t="str">
        <f aca="false">IF($A364&lt;&gt;"Seçildi","",IF(OR($L364="",$I364="",$M364=""),"",IF(SUMPRODUCT(($A$7:$A$456="Seçildi")*($L$7:$L$456=$L364)*($I$7:$I$456=$I364)*(ROW($A$7:$A$456)&lt;&gt;364)*($M$7:$M$456&lt;=$N364)*($N$7:$N$456&gt;=$M364))&gt;0,"⚠ Çakışma","OK")))</f>
        <v/>
      </c>
      <c r="R364" s="37" t="str">
        <f aca="false">IF($A364&lt;&gt;"Seçildi","",IF(OR($D364="",$I364="",$M364=""),"",IF(SUMPRODUCT(($A$7:$A$456="Seçildi")*($D$7:$D$456=$D364)*($I$7:$I$456=$I364)*(ROW($A$7:$A$456)&lt;&gt;364)*($M$7:$M$456&lt;=$N364)*($N$7:$N$456&gt;=$M364))&gt;0,"⚠ Çakışma","OK")))</f>
        <v/>
      </c>
      <c r="S364" s="37" t="str">
        <f aca="false">IF($A364&lt;&gt;"Seçildi","",IF(SUM($K364,$K365,$K366)&lt;&gt;$F364,"⚠ Dağılım: "&amp;SUM($K364:$K366)&amp;"/"&amp;$F364&amp;" saat","✓ Tamam"))</f>
        <v/>
      </c>
      <c r="T364" s="37" t="str">
        <f aca="false">IF($A364&lt;&gt;"Seçildi","",IF(OR($O364&lt;&gt;"",$P364="⚠ Çakışma",$Q364="⚠ Çakışma",$R364="⚠ Çakışma",LEFT($S364&amp;" ",1)="⚠"),"⚠ Kontrol Et","✓ Uygun"))</f>
        <v/>
      </c>
    </row>
    <row r="365" customFormat="false" ht="13.5" hidden="false" customHeight="true" outlineLevel="0" collapsed="false">
      <c r="A365" s="37" t="n">
        <f aca="false">'1-Ders Havuzu'!K122</f>
        <v>0</v>
      </c>
      <c r="B365" s="37" t="str">
        <f aca="false">IF($A365="Seçildi",IF('1-Ders Havuzu'!C122="","",'1-Ders Havuzu'!C122),"")</f>
        <v/>
      </c>
      <c r="C365" s="38" t="str">
        <f aca="false">IF($A365="Seçildi",IF('1-Ders Havuzu'!D122="","",'1-Ders Havuzu'!D122),"")</f>
        <v/>
      </c>
      <c r="D365" s="37" t="str">
        <f aca="false">IF($A365="Seçildi",IF('1-Ders Havuzu'!B122="","",'1-Ders Havuzu'!B122),"")</f>
        <v/>
      </c>
      <c r="E365" s="37" t="str">
        <f aca="false">IF($A365="Seçildi",IF('1-Ders Havuzu'!A122="","",'1-Ders Havuzu'!A122),"")</f>
        <v/>
      </c>
      <c r="F365" s="37" t="str">
        <f aca="false">IF($A365="Seçildi",IF('1-Ders Havuzu'!H122="","",'1-Ders Havuzu'!H122),"")</f>
        <v/>
      </c>
      <c r="G365" s="37" t="str">
        <f aca="false">IF($A365="Seçildi",IF('2-Ders-Öğr.Elemanı Eşleştirme'!H122="","",'2-Ders-Öğr.Elemanı Eşleştirme'!H122),"")</f>
        <v/>
      </c>
      <c r="H365" s="39" t="n">
        <v>2</v>
      </c>
      <c r="I365" s="36"/>
      <c r="J365" s="36"/>
      <c r="K365" s="36"/>
      <c r="L365" s="36"/>
      <c r="M365" s="37" t="str">
        <f aca="false">IF($J365="","",MATCH($J365,{"08.00";"09.00";"10.00";"11.00";"12.00";"13.00";"14.00";"15.00";"16.00";"17.00"},0))</f>
        <v/>
      </c>
      <c r="N365" s="37" t="str">
        <f aca="false">IF(OR($M365="",$K365=""),"",$M365+$K365-1)</f>
        <v/>
      </c>
      <c r="O365" s="37" t="str">
        <f aca="false">IF($A365&lt;&gt;"Seçildi","",IF(OR($M365="",$N365=""),"",IF($N365&gt;10,"⚠ Saat Taşıyor","")))</f>
        <v/>
      </c>
      <c r="P365" s="37" t="str">
        <f aca="false">IF($A365&lt;&gt;"Seçildi","",IF(OR($G365="",$I365="",$M365=""),"",IF(SUMPRODUCT(($A$7:$A$456="Seçildi")*($G$7:$G$456=$G365)*($I$7:$I$456=$I365)*(ROW($A$7:$A$456)&lt;&gt;365)*($M$7:$M$456&lt;=$N365)*($N$7:$N$456&gt;=$M365))&gt;0,"⚠ Çakışma","OK")))</f>
        <v/>
      </c>
      <c r="Q365" s="37" t="str">
        <f aca="false">IF($A365&lt;&gt;"Seçildi","",IF(OR($L365="",$I365="",$M365=""),"",IF(SUMPRODUCT(($A$7:$A$456="Seçildi")*($L$7:$L$456=$L365)*($I$7:$I$456=$I365)*(ROW($A$7:$A$456)&lt;&gt;365)*($M$7:$M$456&lt;=$N365)*($N$7:$N$456&gt;=$M365))&gt;0,"⚠ Çakışma","OK")))</f>
        <v/>
      </c>
      <c r="R365" s="37" t="str">
        <f aca="false">IF($A365&lt;&gt;"Seçildi","",IF(OR($D365="",$I365="",$M365=""),"",IF(SUMPRODUCT(($A$7:$A$456="Seçildi")*($D$7:$D$456=$D365)*($I$7:$I$456=$I365)*(ROW($A$7:$A$456)&lt;&gt;365)*($M$7:$M$456&lt;=$N365)*($N$7:$N$456&gt;=$M365))&gt;0,"⚠ Çakışma","OK")))</f>
        <v/>
      </c>
      <c r="S365" s="37"/>
      <c r="T365" s="37" t="str">
        <f aca="false">IF(OR($A365&lt;&gt;"Seçildi",AND($I365="",$J365="")),"",IF(OR($O365&lt;&gt;"",$P365="⚠ Çakışma",$Q365="⚠ Çakışma",$R365="⚠ Çakışma"),"⚠ Kontrol Et","✓ Uygun"))</f>
        <v/>
      </c>
    </row>
    <row r="366" customFormat="false" ht="13.5" hidden="false" customHeight="true" outlineLevel="0" collapsed="false">
      <c r="A366" s="37" t="n">
        <f aca="false">'1-Ders Havuzu'!K122</f>
        <v>0</v>
      </c>
      <c r="B366" s="37" t="str">
        <f aca="false">IF($A366="Seçildi",IF('1-Ders Havuzu'!C122="","",'1-Ders Havuzu'!C122),"")</f>
        <v/>
      </c>
      <c r="C366" s="38" t="str">
        <f aca="false">IF($A366="Seçildi",IF('1-Ders Havuzu'!D122="","",'1-Ders Havuzu'!D122),"")</f>
        <v/>
      </c>
      <c r="D366" s="37" t="str">
        <f aca="false">IF($A366="Seçildi",IF('1-Ders Havuzu'!B122="","",'1-Ders Havuzu'!B122),"")</f>
        <v/>
      </c>
      <c r="E366" s="37" t="str">
        <f aca="false">IF($A366="Seçildi",IF('1-Ders Havuzu'!A122="","",'1-Ders Havuzu'!A122),"")</f>
        <v/>
      </c>
      <c r="F366" s="37" t="str">
        <f aca="false">IF($A366="Seçildi",IF('1-Ders Havuzu'!H122="","",'1-Ders Havuzu'!H122),"")</f>
        <v/>
      </c>
      <c r="G366" s="37" t="str">
        <f aca="false">IF($A366="Seçildi",IF('2-Ders-Öğr.Elemanı Eşleştirme'!H122="","",'2-Ders-Öğr.Elemanı Eşleştirme'!H122),"")</f>
        <v/>
      </c>
      <c r="H366" s="39" t="n">
        <v>3</v>
      </c>
      <c r="I366" s="36"/>
      <c r="J366" s="36"/>
      <c r="K366" s="36"/>
      <c r="L366" s="36"/>
      <c r="M366" s="37" t="str">
        <f aca="false">IF($J366="","",MATCH($J366,{"08.00";"09.00";"10.00";"11.00";"12.00";"13.00";"14.00";"15.00";"16.00";"17.00"},0))</f>
        <v/>
      </c>
      <c r="N366" s="37" t="str">
        <f aca="false">IF(OR($M366="",$K366=""),"",$M366+$K366-1)</f>
        <v/>
      </c>
      <c r="O366" s="37" t="str">
        <f aca="false">IF($A366&lt;&gt;"Seçildi","",IF(OR($M366="",$N366=""),"",IF($N366&gt;10,"⚠ Saat Taşıyor","")))</f>
        <v/>
      </c>
      <c r="P366" s="37" t="str">
        <f aca="false">IF($A366&lt;&gt;"Seçildi","",IF(OR($G366="",$I366="",$M366=""),"",IF(SUMPRODUCT(($A$7:$A$456="Seçildi")*($G$7:$G$456=$G366)*($I$7:$I$456=$I366)*(ROW($A$7:$A$456)&lt;&gt;366)*($M$7:$M$456&lt;=$N366)*($N$7:$N$456&gt;=$M366))&gt;0,"⚠ Çakışma","OK")))</f>
        <v/>
      </c>
      <c r="Q366" s="37" t="str">
        <f aca="false">IF($A366&lt;&gt;"Seçildi","",IF(OR($L366="",$I366="",$M366=""),"",IF(SUMPRODUCT(($A$7:$A$456="Seçildi")*($L$7:$L$456=$L366)*($I$7:$I$456=$I366)*(ROW($A$7:$A$456)&lt;&gt;366)*($M$7:$M$456&lt;=$N366)*($N$7:$N$456&gt;=$M366))&gt;0,"⚠ Çakışma","OK")))</f>
        <v/>
      </c>
      <c r="R366" s="37" t="str">
        <f aca="false">IF($A366&lt;&gt;"Seçildi","",IF(OR($D366="",$I366="",$M366=""),"",IF(SUMPRODUCT(($A$7:$A$456="Seçildi")*($D$7:$D$456=$D366)*($I$7:$I$456=$I366)*(ROW($A$7:$A$456)&lt;&gt;366)*($M$7:$M$456&lt;=$N366)*($N$7:$N$456&gt;=$M366))&gt;0,"⚠ Çakışma","OK")))</f>
        <v/>
      </c>
      <c r="S366" s="37"/>
      <c r="T366" s="37" t="str">
        <f aca="false">IF(OR($A366&lt;&gt;"Seçildi",AND($I366="",$J366="")),"",IF(OR($O366&lt;&gt;"",$P366="⚠ Çakışma",$Q366="⚠ Çakışma",$R366="⚠ Çakışma"),"⚠ Kontrol Et","✓ Uygun"))</f>
        <v/>
      </c>
    </row>
    <row r="367" customFormat="false" ht="13.5" hidden="false" customHeight="true" outlineLevel="0" collapsed="false">
      <c r="A367" s="33" t="n">
        <f aca="false">'1-Ders Havuzu'!K123</f>
        <v>0</v>
      </c>
      <c r="B367" s="33" t="str">
        <f aca="false">IF($A367="Seçildi",IF('1-Ders Havuzu'!C123="","",'1-Ders Havuzu'!C123),"")</f>
        <v/>
      </c>
      <c r="C367" s="34" t="str">
        <f aca="false">IF($A367="Seçildi",IF('1-Ders Havuzu'!D123="","",'1-Ders Havuzu'!D123),"")</f>
        <v/>
      </c>
      <c r="D367" s="33" t="str">
        <f aca="false">IF($A367="Seçildi",IF('1-Ders Havuzu'!B123="","",'1-Ders Havuzu'!B123),"")</f>
        <v/>
      </c>
      <c r="E367" s="33" t="str">
        <f aca="false">IF($A367="Seçildi",IF('1-Ders Havuzu'!A123="","",'1-Ders Havuzu'!A123),"")</f>
        <v/>
      </c>
      <c r="F367" s="33" t="str">
        <f aca="false">IF($A367="Seçildi",IF('1-Ders Havuzu'!H123="","",'1-Ders Havuzu'!H123),"")</f>
        <v/>
      </c>
      <c r="G367" s="33" t="str">
        <f aca="false">IF($A367="Seçildi",IF('2-Ders-Öğr.Elemanı Eşleştirme'!H123="","",'2-Ders-Öğr.Elemanı Eşleştirme'!H123),"")</f>
        <v/>
      </c>
      <c r="H367" s="35" t="n">
        <v>1</v>
      </c>
      <c r="I367" s="36"/>
      <c r="J367" s="36"/>
      <c r="K367" s="36"/>
      <c r="L367" s="36"/>
      <c r="M367" s="33" t="str">
        <f aca="false">IF($J367="","",MATCH($J367,{"08.00";"09.00";"10.00";"11.00";"12.00";"13.00";"14.00";"15.00";"16.00";"17.00"},0))</f>
        <v/>
      </c>
      <c r="N367" s="33" t="str">
        <f aca="false">IF(OR($M367="",$K367=""),"",$M367+$K367-1)</f>
        <v/>
      </c>
      <c r="O367" s="33" t="str">
        <f aca="false">IF($A367&lt;&gt;"Seçildi","",IF(OR($M367="",$N367=""),"",IF($N367&gt;10,"⚠ Saat Taşıyor","")))</f>
        <v/>
      </c>
      <c r="P367" s="33" t="str">
        <f aca="false">IF($A367&lt;&gt;"Seçildi","",IF(OR($G367="",$I367="",$M367=""),"",IF(SUMPRODUCT(($A$7:$A$456="Seçildi")*($G$7:$G$456=$G367)*($I$7:$I$456=$I367)*(ROW($A$7:$A$456)&lt;&gt;367)*($M$7:$M$456&lt;=$N367)*($N$7:$N$456&gt;=$M367))&gt;0,"⚠ Çakışma","OK")))</f>
        <v/>
      </c>
      <c r="Q367" s="33" t="str">
        <f aca="false">IF($A367&lt;&gt;"Seçildi","",IF(OR($L367="",$I367="",$M367=""),"",IF(SUMPRODUCT(($A$7:$A$456="Seçildi")*($L$7:$L$456=$L367)*($I$7:$I$456=$I367)*(ROW($A$7:$A$456)&lt;&gt;367)*($M$7:$M$456&lt;=$N367)*($N$7:$N$456&gt;=$M367))&gt;0,"⚠ Çakışma","OK")))</f>
        <v/>
      </c>
      <c r="R367" s="33" t="str">
        <f aca="false">IF($A367&lt;&gt;"Seçildi","",IF(OR($D367="",$I367="",$M367=""),"",IF(SUMPRODUCT(($A$7:$A$456="Seçildi")*($D$7:$D$456=$D367)*($I$7:$I$456=$I367)*(ROW($A$7:$A$456)&lt;&gt;367)*($M$7:$M$456&lt;=$N367)*($N$7:$N$456&gt;=$M367))&gt;0,"⚠ Çakışma","OK")))</f>
        <v/>
      </c>
      <c r="S367" s="33" t="str">
        <f aca="false">IF($A367&lt;&gt;"Seçildi","",IF(SUM($K367,$K368,$K369)&lt;&gt;$F367,"⚠ Dağılım: "&amp;SUM($K367:$K369)&amp;"/"&amp;$F367&amp;" saat","✓ Tamam"))</f>
        <v/>
      </c>
      <c r="T367" s="33" t="str">
        <f aca="false">IF($A367&lt;&gt;"Seçildi","",IF(OR($O367&lt;&gt;"",$P367="⚠ Çakışma",$Q367="⚠ Çakışma",$R367="⚠ Çakışma",LEFT($S367&amp;" ",1)="⚠"),"⚠ Kontrol Et","✓ Uygun"))</f>
        <v/>
      </c>
    </row>
    <row r="368" customFormat="false" ht="13.5" hidden="false" customHeight="true" outlineLevel="0" collapsed="false">
      <c r="A368" s="33" t="n">
        <f aca="false">'1-Ders Havuzu'!K123</f>
        <v>0</v>
      </c>
      <c r="B368" s="33" t="str">
        <f aca="false">IF($A368="Seçildi",IF('1-Ders Havuzu'!C123="","",'1-Ders Havuzu'!C123),"")</f>
        <v/>
      </c>
      <c r="C368" s="34" t="str">
        <f aca="false">IF($A368="Seçildi",IF('1-Ders Havuzu'!D123="","",'1-Ders Havuzu'!D123),"")</f>
        <v/>
      </c>
      <c r="D368" s="33" t="str">
        <f aca="false">IF($A368="Seçildi",IF('1-Ders Havuzu'!B123="","",'1-Ders Havuzu'!B123),"")</f>
        <v/>
      </c>
      <c r="E368" s="33" t="str">
        <f aca="false">IF($A368="Seçildi",IF('1-Ders Havuzu'!A123="","",'1-Ders Havuzu'!A123),"")</f>
        <v/>
      </c>
      <c r="F368" s="33" t="str">
        <f aca="false">IF($A368="Seçildi",IF('1-Ders Havuzu'!H123="","",'1-Ders Havuzu'!H123),"")</f>
        <v/>
      </c>
      <c r="G368" s="33" t="str">
        <f aca="false">IF($A368="Seçildi",IF('2-Ders-Öğr.Elemanı Eşleştirme'!H123="","",'2-Ders-Öğr.Elemanı Eşleştirme'!H123),"")</f>
        <v/>
      </c>
      <c r="H368" s="35" t="n">
        <v>2</v>
      </c>
      <c r="I368" s="36"/>
      <c r="J368" s="36"/>
      <c r="K368" s="36"/>
      <c r="L368" s="36"/>
      <c r="M368" s="33" t="str">
        <f aca="false">IF($J368="","",MATCH($J368,{"08.00";"09.00";"10.00";"11.00";"12.00";"13.00";"14.00";"15.00";"16.00";"17.00"},0))</f>
        <v/>
      </c>
      <c r="N368" s="33" t="str">
        <f aca="false">IF(OR($M368="",$K368=""),"",$M368+$K368-1)</f>
        <v/>
      </c>
      <c r="O368" s="33" t="str">
        <f aca="false">IF($A368&lt;&gt;"Seçildi","",IF(OR($M368="",$N368=""),"",IF($N368&gt;10,"⚠ Saat Taşıyor","")))</f>
        <v/>
      </c>
      <c r="P368" s="33" t="str">
        <f aca="false">IF($A368&lt;&gt;"Seçildi","",IF(OR($G368="",$I368="",$M368=""),"",IF(SUMPRODUCT(($A$7:$A$456="Seçildi")*($G$7:$G$456=$G368)*($I$7:$I$456=$I368)*(ROW($A$7:$A$456)&lt;&gt;368)*($M$7:$M$456&lt;=$N368)*($N$7:$N$456&gt;=$M368))&gt;0,"⚠ Çakışma","OK")))</f>
        <v/>
      </c>
      <c r="Q368" s="33" t="str">
        <f aca="false">IF($A368&lt;&gt;"Seçildi","",IF(OR($L368="",$I368="",$M368=""),"",IF(SUMPRODUCT(($A$7:$A$456="Seçildi")*($L$7:$L$456=$L368)*($I$7:$I$456=$I368)*(ROW($A$7:$A$456)&lt;&gt;368)*($M$7:$M$456&lt;=$N368)*($N$7:$N$456&gt;=$M368))&gt;0,"⚠ Çakışma","OK")))</f>
        <v/>
      </c>
      <c r="R368" s="33" t="str">
        <f aca="false">IF($A368&lt;&gt;"Seçildi","",IF(OR($D368="",$I368="",$M368=""),"",IF(SUMPRODUCT(($A$7:$A$456="Seçildi")*($D$7:$D$456=$D368)*($I$7:$I$456=$I368)*(ROW($A$7:$A$456)&lt;&gt;368)*($M$7:$M$456&lt;=$N368)*($N$7:$N$456&gt;=$M368))&gt;0,"⚠ Çakışma","OK")))</f>
        <v/>
      </c>
      <c r="S368" s="33"/>
      <c r="T368" s="33" t="str">
        <f aca="false">IF(OR($A368&lt;&gt;"Seçildi",AND($I368="",$J368="")),"",IF(OR($O368&lt;&gt;"",$P368="⚠ Çakışma",$Q368="⚠ Çakışma",$R368="⚠ Çakışma"),"⚠ Kontrol Et","✓ Uygun"))</f>
        <v/>
      </c>
    </row>
    <row r="369" customFormat="false" ht="13.5" hidden="false" customHeight="true" outlineLevel="0" collapsed="false">
      <c r="A369" s="33" t="n">
        <f aca="false">'1-Ders Havuzu'!K123</f>
        <v>0</v>
      </c>
      <c r="B369" s="33" t="str">
        <f aca="false">IF($A369="Seçildi",IF('1-Ders Havuzu'!C123="","",'1-Ders Havuzu'!C123),"")</f>
        <v/>
      </c>
      <c r="C369" s="34" t="str">
        <f aca="false">IF($A369="Seçildi",IF('1-Ders Havuzu'!D123="","",'1-Ders Havuzu'!D123),"")</f>
        <v/>
      </c>
      <c r="D369" s="33" t="str">
        <f aca="false">IF($A369="Seçildi",IF('1-Ders Havuzu'!B123="","",'1-Ders Havuzu'!B123),"")</f>
        <v/>
      </c>
      <c r="E369" s="33" t="str">
        <f aca="false">IF($A369="Seçildi",IF('1-Ders Havuzu'!A123="","",'1-Ders Havuzu'!A123),"")</f>
        <v/>
      </c>
      <c r="F369" s="33" t="str">
        <f aca="false">IF($A369="Seçildi",IF('1-Ders Havuzu'!H123="","",'1-Ders Havuzu'!H123),"")</f>
        <v/>
      </c>
      <c r="G369" s="33" t="str">
        <f aca="false">IF($A369="Seçildi",IF('2-Ders-Öğr.Elemanı Eşleştirme'!H123="","",'2-Ders-Öğr.Elemanı Eşleştirme'!H123),"")</f>
        <v/>
      </c>
      <c r="H369" s="35" t="n">
        <v>3</v>
      </c>
      <c r="I369" s="36"/>
      <c r="J369" s="36"/>
      <c r="K369" s="36"/>
      <c r="L369" s="36"/>
      <c r="M369" s="33" t="str">
        <f aca="false">IF($J369="","",MATCH($J369,{"08.00";"09.00";"10.00";"11.00";"12.00";"13.00";"14.00";"15.00";"16.00";"17.00"},0))</f>
        <v/>
      </c>
      <c r="N369" s="33" t="str">
        <f aca="false">IF(OR($M369="",$K369=""),"",$M369+$K369-1)</f>
        <v/>
      </c>
      <c r="O369" s="33" t="str">
        <f aca="false">IF($A369&lt;&gt;"Seçildi","",IF(OR($M369="",$N369=""),"",IF($N369&gt;10,"⚠ Saat Taşıyor","")))</f>
        <v/>
      </c>
      <c r="P369" s="33" t="str">
        <f aca="false">IF($A369&lt;&gt;"Seçildi","",IF(OR($G369="",$I369="",$M369=""),"",IF(SUMPRODUCT(($A$7:$A$456="Seçildi")*($G$7:$G$456=$G369)*($I$7:$I$456=$I369)*(ROW($A$7:$A$456)&lt;&gt;369)*($M$7:$M$456&lt;=$N369)*($N$7:$N$456&gt;=$M369))&gt;0,"⚠ Çakışma","OK")))</f>
        <v/>
      </c>
      <c r="Q369" s="33" t="str">
        <f aca="false">IF($A369&lt;&gt;"Seçildi","",IF(OR($L369="",$I369="",$M369=""),"",IF(SUMPRODUCT(($A$7:$A$456="Seçildi")*($L$7:$L$456=$L369)*($I$7:$I$456=$I369)*(ROW($A$7:$A$456)&lt;&gt;369)*($M$7:$M$456&lt;=$N369)*($N$7:$N$456&gt;=$M369))&gt;0,"⚠ Çakışma","OK")))</f>
        <v/>
      </c>
      <c r="R369" s="33" t="str">
        <f aca="false">IF($A369&lt;&gt;"Seçildi","",IF(OR($D369="",$I369="",$M369=""),"",IF(SUMPRODUCT(($A$7:$A$456="Seçildi")*($D$7:$D$456=$D369)*($I$7:$I$456=$I369)*(ROW($A$7:$A$456)&lt;&gt;369)*($M$7:$M$456&lt;=$N369)*($N$7:$N$456&gt;=$M369))&gt;0,"⚠ Çakışma","OK")))</f>
        <v/>
      </c>
      <c r="S369" s="33"/>
      <c r="T369" s="33" t="str">
        <f aca="false">IF(OR($A369&lt;&gt;"Seçildi",AND($I369="",$J369="")),"",IF(OR($O369&lt;&gt;"",$P369="⚠ Çakışma",$Q369="⚠ Çakışma",$R369="⚠ Çakışma"),"⚠ Kontrol Et","✓ Uygun"))</f>
        <v/>
      </c>
    </row>
    <row r="370" customFormat="false" ht="13.5" hidden="false" customHeight="true" outlineLevel="0" collapsed="false">
      <c r="A370" s="37" t="n">
        <f aca="false">'1-Ders Havuzu'!K124</f>
        <v>0</v>
      </c>
      <c r="B370" s="37" t="str">
        <f aca="false">IF($A370="Seçildi",IF('1-Ders Havuzu'!C124="","",'1-Ders Havuzu'!C124),"")</f>
        <v/>
      </c>
      <c r="C370" s="38" t="str">
        <f aca="false">IF($A370="Seçildi",IF('1-Ders Havuzu'!D124="","",'1-Ders Havuzu'!D124),"")</f>
        <v/>
      </c>
      <c r="D370" s="37" t="str">
        <f aca="false">IF($A370="Seçildi",IF('1-Ders Havuzu'!B124="","",'1-Ders Havuzu'!B124),"")</f>
        <v/>
      </c>
      <c r="E370" s="37" t="str">
        <f aca="false">IF($A370="Seçildi",IF('1-Ders Havuzu'!A124="","",'1-Ders Havuzu'!A124),"")</f>
        <v/>
      </c>
      <c r="F370" s="37" t="str">
        <f aca="false">IF($A370="Seçildi",IF('1-Ders Havuzu'!H124="","",'1-Ders Havuzu'!H124),"")</f>
        <v/>
      </c>
      <c r="G370" s="37" t="str">
        <f aca="false">IF($A370="Seçildi",IF('2-Ders-Öğr.Elemanı Eşleştirme'!H124="","",'2-Ders-Öğr.Elemanı Eşleştirme'!H124),"")</f>
        <v/>
      </c>
      <c r="H370" s="39" t="n">
        <v>1</v>
      </c>
      <c r="I370" s="36"/>
      <c r="J370" s="36"/>
      <c r="K370" s="36"/>
      <c r="L370" s="36"/>
      <c r="M370" s="37" t="str">
        <f aca="false">IF($J370="","",MATCH($J370,{"08.00";"09.00";"10.00";"11.00";"12.00";"13.00";"14.00";"15.00";"16.00";"17.00"},0))</f>
        <v/>
      </c>
      <c r="N370" s="37" t="str">
        <f aca="false">IF(OR($M370="",$K370=""),"",$M370+$K370-1)</f>
        <v/>
      </c>
      <c r="O370" s="37" t="str">
        <f aca="false">IF($A370&lt;&gt;"Seçildi","",IF(OR($M370="",$N370=""),"",IF($N370&gt;10,"⚠ Saat Taşıyor","")))</f>
        <v/>
      </c>
      <c r="P370" s="37" t="str">
        <f aca="false">IF($A370&lt;&gt;"Seçildi","",IF(OR($G370="",$I370="",$M370=""),"",IF(SUMPRODUCT(($A$7:$A$456="Seçildi")*($G$7:$G$456=$G370)*($I$7:$I$456=$I370)*(ROW($A$7:$A$456)&lt;&gt;370)*($M$7:$M$456&lt;=$N370)*($N$7:$N$456&gt;=$M370))&gt;0,"⚠ Çakışma","OK")))</f>
        <v/>
      </c>
      <c r="Q370" s="37" t="str">
        <f aca="false">IF($A370&lt;&gt;"Seçildi","",IF(OR($L370="",$I370="",$M370=""),"",IF(SUMPRODUCT(($A$7:$A$456="Seçildi")*($L$7:$L$456=$L370)*($I$7:$I$456=$I370)*(ROW($A$7:$A$456)&lt;&gt;370)*($M$7:$M$456&lt;=$N370)*($N$7:$N$456&gt;=$M370))&gt;0,"⚠ Çakışma","OK")))</f>
        <v/>
      </c>
      <c r="R370" s="37" t="str">
        <f aca="false">IF($A370&lt;&gt;"Seçildi","",IF(OR($D370="",$I370="",$M370=""),"",IF(SUMPRODUCT(($A$7:$A$456="Seçildi")*($D$7:$D$456=$D370)*($I$7:$I$456=$I370)*(ROW($A$7:$A$456)&lt;&gt;370)*($M$7:$M$456&lt;=$N370)*($N$7:$N$456&gt;=$M370))&gt;0,"⚠ Çakışma","OK")))</f>
        <v/>
      </c>
      <c r="S370" s="37" t="str">
        <f aca="false">IF($A370&lt;&gt;"Seçildi","",IF(SUM($K370,$K371,$K372)&lt;&gt;$F370,"⚠ Dağılım: "&amp;SUM($K370:$K372)&amp;"/"&amp;$F370&amp;" saat","✓ Tamam"))</f>
        <v/>
      </c>
      <c r="T370" s="37" t="str">
        <f aca="false">IF($A370&lt;&gt;"Seçildi","",IF(OR($O370&lt;&gt;"",$P370="⚠ Çakışma",$Q370="⚠ Çakışma",$R370="⚠ Çakışma",LEFT($S370&amp;" ",1)="⚠"),"⚠ Kontrol Et","✓ Uygun"))</f>
        <v/>
      </c>
    </row>
    <row r="371" customFormat="false" ht="13.5" hidden="false" customHeight="true" outlineLevel="0" collapsed="false">
      <c r="A371" s="37" t="n">
        <f aca="false">'1-Ders Havuzu'!K124</f>
        <v>0</v>
      </c>
      <c r="B371" s="37" t="str">
        <f aca="false">IF($A371="Seçildi",IF('1-Ders Havuzu'!C124="","",'1-Ders Havuzu'!C124),"")</f>
        <v/>
      </c>
      <c r="C371" s="38" t="str">
        <f aca="false">IF($A371="Seçildi",IF('1-Ders Havuzu'!D124="","",'1-Ders Havuzu'!D124),"")</f>
        <v/>
      </c>
      <c r="D371" s="37" t="str">
        <f aca="false">IF($A371="Seçildi",IF('1-Ders Havuzu'!B124="","",'1-Ders Havuzu'!B124),"")</f>
        <v/>
      </c>
      <c r="E371" s="37" t="str">
        <f aca="false">IF($A371="Seçildi",IF('1-Ders Havuzu'!A124="","",'1-Ders Havuzu'!A124),"")</f>
        <v/>
      </c>
      <c r="F371" s="37" t="str">
        <f aca="false">IF($A371="Seçildi",IF('1-Ders Havuzu'!H124="","",'1-Ders Havuzu'!H124),"")</f>
        <v/>
      </c>
      <c r="G371" s="37" t="str">
        <f aca="false">IF($A371="Seçildi",IF('2-Ders-Öğr.Elemanı Eşleştirme'!H124="","",'2-Ders-Öğr.Elemanı Eşleştirme'!H124),"")</f>
        <v/>
      </c>
      <c r="H371" s="39" t="n">
        <v>2</v>
      </c>
      <c r="I371" s="36"/>
      <c r="J371" s="36"/>
      <c r="K371" s="36"/>
      <c r="L371" s="36"/>
      <c r="M371" s="37" t="str">
        <f aca="false">IF($J371="","",MATCH($J371,{"08.00";"09.00";"10.00";"11.00";"12.00";"13.00";"14.00";"15.00";"16.00";"17.00"},0))</f>
        <v/>
      </c>
      <c r="N371" s="37" t="str">
        <f aca="false">IF(OR($M371="",$K371=""),"",$M371+$K371-1)</f>
        <v/>
      </c>
      <c r="O371" s="37" t="str">
        <f aca="false">IF($A371&lt;&gt;"Seçildi","",IF(OR($M371="",$N371=""),"",IF($N371&gt;10,"⚠ Saat Taşıyor","")))</f>
        <v/>
      </c>
      <c r="P371" s="37" t="str">
        <f aca="false">IF($A371&lt;&gt;"Seçildi","",IF(OR($G371="",$I371="",$M371=""),"",IF(SUMPRODUCT(($A$7:$A$456="Seçildi")*($G$7:$G$456=$G371)*($I$7:$I$456=$I371)*(ROW($A$7:$A$456)&lt;&gt;371)*($M$7:$M$456&lt;=$N371)*($N$7:$N$456&gt;=$M371))&gt;0,"⚠ Çakışma","OK")))</f>
        <v/>
      </c>
      <c r="Q371" s="37" t="str">
        <f aca="false">IF($A371&lt;&gt;"Seçildi","",IF(OR($L371="",$I371="",$M371=""),"",IF(SUMPRODUCT(($A$7:$A$456="Seçildi")*($L$7:$L$456=$L371)*($I$7:$I$456=$I371)*(ROW($A$7:$A$456)&lt;&gt;371)*($M$7:$M$456&lt;=$N371)*($N$7:$N$456&gt;=$M371))&gt;0,"⚠ Çakışma","OK")))</f>
        <v/>
      </c>
      <c r="R371" s="37" t="str">
        <f aca="false">IF($A371&lt;&gt;"Seçildi","",IF(OR($D371="",$I371="",$M371=""),"",IF(SUMPRODUCT(($A$7:$A$456="Seçildi")*($D$7:$D$456=$D371)*($I$7:$I$456=$I371)*(ROW($A$7:$A$456)&lt;&gt;371)*($M$7:$M$456&lt;=$N371)*($N$7:$N$456&gt;=$M371))&gt;0,"⚠ Çakışma","OK")))</f>
        <v/>
      </c>
      <c r="S371" s="37"/>
      <c r="T371" s="37" t="str">
        <f aca="false">IF(OR($A371&lt;&gt;"Seçildi",AND($I371="",$J371="")),"",IF(OR($O371&lt;&gt;"",$P371="⚠ Çakışma",$Q371="⚠ Çakışma",$R371="⚠ Çakışma"),"⚠ Kontrol Et","✓ Uygun"))</f>
        <v/>
      </c>
    </row>
    <row r="372" customFormat="false" ht="13.5" hidden="false" customHeight="true" outlineLevel="0" collapsed="false">
      <c r="A372" s="37" t="n">
        <f aca="false">'1-Ders Havuzu'!K124</f>
        <v>0</v>
      </c>
      <c r="B372" s="37" t="str">
        <f aca="false">IF($A372="Seçildi",IF('1-Ders Havuzu'!C124="","",'1-Ders Havuzu'!C124),"")</f>
        <v/>
      </c>
      <c r="C372" s="38" t="str">
        <f aca="false">IF($A372="Seçildi",IF('1-Ders Havuzu'!D124="","",'1-Ders Havuzu'!D124),"")</f>
        <v/>
      </c>
      <c r="D372" s="37" t="str">
        <f aca="false">IF($A372="Seçildi",IF('1-Ders Havuzu'!B124="","",'1-Ders Havuzu'!B124),"")</f>
        <v/>
      </c>
      <c r="E372" s="37" t="str">
        <f aca="false">IF($A372="Seçildi",IF('1-Ders Havuzu'!A124="","",'1-Ders Havuzu'!A124),"")</f>
        <v/>
      </c>
      <c r="F372" s="37" t="str">
        <f aca="false">IF($A372="Seçildi",IF('1-Ders Havuzu'!H124="","",'1-Ders Havuzu'!H124),"")</f>
        <v/>
      </c>
      <c r="G372" s="37" t="str">
        <f aca="false">IF($A372="Seçildi",IF('2-Ders-Öğr.Elemanı Eşleştirme'!H124="","",'2-Ders-Öğr.Elemanı Eşleştirme'!H124),"")</f>
        <v/>
      </c>
      <c r="H372" s="39" t="n">
        <v>3</v>
      </c>
      <c r="I372" s="36"/>
      <c r="J372" s="36"/>
      <c r="K372" s="36"/>
      <c r="L372" s="36"/>
      <c r="M372" s="37" t="str">
        <f aca="false">IF($J372="","",MATCH($J372,{"08.00";"09.00";"10.00";"11.00";"12.00";"13.00";"14.00";"15.00";"16.00";"17.00"},0))</f>
        <v/>
      </c>
      <c r="N372" s="37" t="str">
        <f aca="false">IF(OR($M372="",$K372=""),"",$M372+$K372-1)</f>
        <v/>
      </c>
      <c r="O372" s="37" t="str">
        <f aca="false">IF($A372&lt;&gt;"Seçildi","",IF(OR($M372="",$N372=""),"",IF($N372&gt;10,"⚠ Saat Taşıyor","")))</f>
        <v/>
      </c>
      <c r="P372" s="37" t="str">
        <f aca="false">IF($A372&lt;&gt;"Seçildi","",IF(OR($G372="",$I372="",$M372=""),"",IF(SUMPRODUCT(($A$7:$A$456="Seçildi")*($G$7:$G$456=$G372)*($I$7:$I$456=$I372)*(ROW($A$7:$A$456)&lt;&gt;372)*($M$7:$M$456&lt;=$N372)*($N$7:$N$456&gt;=$M372))&gt;0,"⚠ Çakışma","OK")))</f>
        <v/>
      </c>
      <c r="Q372" s="37" t="str">
        <f aca="false">IF($A372&lt;&gt;"Seçildi","",IF(OR($L372="",$I372="",$M372=""),"",IF(SUMPRODUCT(($A$7:$A$456="Seçildi")*($L$7:$L$456=$L372)*($I$7:$I$456=$I372)*(ROW($A$7:$A$456)&lt;&gt;372)*($M$7:$M$456&lt;=$N372)*($N$7:$N$456&gt;=$M372))&gt;0,"⚠ Çakışma","OK")))</f>
        <v/>
      </c>
      <c r="R372" s="37" t="str">
        <f aca="false">IF($A372&lt;&gt;"Seçildi","",IF(OR($D372="",$I372="",$M372=""),"",IF(SUMPRODUCT(($A$7:$A$456="Seçildi")*($D$7:$D$456=$D372)*($I$7:$I$456=$I372)*(ROW($A$7:$A$456)&lt;&gt;372)*($M$7:$M$456&lt;=$N372)*($N$7:$N$456&gt;=$M372))&gt;0,"⚠ Çakışma","OK")))</f>
        <v/>
      </c>
      <c r="S372" s="37"/>
      <c r="T372" s="37" t="str">
        <f aca="false">IF(OR($A372&lt;&gt;"Seçildi",AND($I372="",$J372="")),"",IF(OR($O372&lt;&gt;"",$P372="⚠ Çakışma",$Q372="⚠ Çakışma",$R372="⚠ Çakışma"),"⚠ Kontrol Et","✓ Uygun"))</f>
        <v/>
      </c>
    </row>
    <row r="373" customFormat="false" ht="13.5" hidden="false" customHeight="true" outlineLevel="0" collapsed="false">
      <c r="A373" s="33" t="n">
        <f aca="false">'1-Ders Havuzu'!K125</f>
        <v>0</v>
      </c>
      <c r="B373" s="33" t="str">
        <f aca="false">IF($A373="Seçildi",IF('1-Ders Havuzu'!C125="","",'1-Ders Havuzu'!C125),"")</f>
        <v/>
      </c>
      <c r="C373" s="34" t="str">
        <f aca="false">IF($A373="Seçildi",IF('1-Ders Havuzu'!D125="","",'1-Ders Havuzu'!D125),"")</f>
        <v/>
      </c>
      <c r="D373" s="33" t="str">
        <f aca="false">IF($A373="Seçildi",IF('1-Ders Havuzu'!B125="","",'1-Ders Havuzu'!B125),"")</f>
        <v/>
      </c>
      <c r="E373" s="33" t="str">
        <f aca="false">IF($A373="Seçildi",IF('1-Ders Havuzu'!A125="","",'1-Ders Havuzu'!A125),"")</f>
        <v/>
      </c>
      <c r="F373" s="33" t="str">
        <f aca="false">IF($A373="Seçildi",IF('1-Ders Havuzu'!H125="","",'1-Ders Havuzu'!H125),"")</f>
        <v/>
      </c>
      <c r="G373" s="33" t="str">
        <f aca="false">IF($A373="Seçildi",IF('2-Ders-Öğr.Elemanı Eşleştirme'!H125="","",'2-Ders-Öğr.Elemanı Eşleştirme'!H125),"")</f>
        <v/>
      </c>
      <c r="H373" s="35" t="n">
        <v>1</v>
      </c>
      <c r="I373" s="36"/>
      <c r="J373" s="36"/>
      <c r="K373" s="36"/>
      <c r="L373" s="36"/>
      <c r="M373" s="33" t="str">
        <f aca="false">IF($J373="","",MATCH($J373,{"08.00";"09.00";"10.00";"11.00";"12.00";"13.00";"14.00";"15.00";"16.00";"17.00"},0))</f>
        <v/>
      </c>
      <c r="N373" s="33" t="str">
        <f aca="false">IF(OR($M373="",$K373=""),"",$M373+$K373-1)</f>
        <v/>
      </c>
      <c r="O373" s="33" t="str">
        <f aca="false">IF($A373&lt;&gt;"Seçildi","",IF(OR($M373="",$N373=""),"",IF($N373&gt;10,"⚠ Saat Taşıyor","")))</f>
        <v/>
      </c>
      <c r="P373" s="33" t="str">
        <f aca="false">IF($A373&lt;&gt;"Seçildi","",IF(OR($G373="",$I373="",$M373=""),"",IF(SUMPRODUCT(($A$7:$A$456="Seçildi")*($G$7:$G$456=$G373)*($I$7:$I$456=$I373)*(ROW($A$7:$A$456)&lt;&gt;373)*($M$7:$M$456&lt;=$N373)*($N$7:$N$456&gt;=$M373))&gt;0,"⚠ Çakışma","OK")))</f>
        <v/>
      </c>
      <c r="Q373" s="33" t="str">
        <f aca="false">IF($A373&lt;&gt;"Seçildi","",IF(OR($L373="",$I373="",$M373=""),"",IF(SUMPRODUCT(($A$7:$A$456="Seçildi")*($L$7:$L$456=$L373)*($I$7:$I$456=$I373)*(ROW($A$7:$A$456)&lt;&gt;373)*($M$7:$M$456&lt;=$N373)*($N$7:$N$456&gt;=$M373))&gt;0,"⚠ Çakışma","OK")))</f>
        <v/>
      </c>
      <c r="R373" s="33" t="str">
        <f aca="false">IF($A373&lt;&gt;"Seçildi","",IF(OR($D373="",$I373="",$M373=""),"",IF(SUMPRODUCT(($A$7:$A$456="Seçildi")*($D$7:$D$456=$D373)*($I$7:$I$456=$I373)*(ROW($A$7:$A$456)&lt;&gt;373)*($M$7:$M$456&lt;=$N373)*($N$7:$N$456&gt;=$M373))&gt;0,"⚠ Çakışma","OK")))</f>
        <v/>
      </c>
      <c r="S373" s="33" t="str">
        <f aca="false">IF($A373&lt;&gt;"Seçildi","",IF(SUM($K373,$K374,$K375)&lt;&gt;$F373,"⚠ Dağılım: "&amp;SUM($K373:$K375)&amp;"/"&amp;$F373&amp;" saat","✓ Tamam"))</f>
        <v/>
      </c>
      <c r="T373" s="33" t="str">
        <f aca="false">IF($A373&lt;&gt;"Seçildi","",IF(OR($O373&lt;&gt;"",$P373="⚠ Çakışma",$Q373="⚠ Çakışma",$R373="⚠ Çakışma",LEFT($S373&amp;" ",1)="⚠"),"⚠ Kontrol Et","✓ Uygun"))</f>
        <v/>
      </c>
    </row>
    <row r="374" customFormat="false" ht="13.5" hidden="false" customHeight="true" outlineLevel="0" collapsed="false">
      <c r="A374" s="33" t="n">
        <f aca="false">'1-Ders Havuzu'!K125</f>
        <v>0</v>
      </c>
      <c r="B374" s="33" t="str">
        <f aca="false">IF($A374="Seçildi",IF('1-Ders Havuzu'!C125="","",'1-Ders Havuzu'!C125),"")</f>
        <v/>
      </c>
      <c r="C374" s="34" t="str">
        <f aca="false">IF($A374="Seçildi",IF('1-Ders Havuzu'!D125="","",'1-Ders Havuzu'!D125),"")</f>
        <v/>
      </c>
      <c r="D374" s="33" t="str">
        <f aca="false">IF($A374="Seçildi",IF('1-Ders Havuzu'!B125="","",'1-Ders Havuzu'!B125),"")</f>
        <v/>
      </c>
      <c r="E374" s="33" t="str">
        <f aca="false">IF($A374="Seçildi",IF('1-Ders Havuzu'!A125="","",'1-Ders Havuzu'!A125),"")</f>
        <v/>
      </c>
      <c r="F374" s="33" t="str">
        <f aca="false">IF($A374="Seçildi",IF('1-Ders Havuzu'!H125="","",'1-Ders Havuzu'!H125),"")</f>
        <v/>
      </c>
      <c r="G374" s="33" t="str">
        <f aca="false">IF($A374="Seçildi",IF('2-Ders-Öğr.Elemanı Eşleştirme'!H125="","",'2-Ders-Öğr.Elemanı Eşleştirme'!H125),"")</f>
        <v/>
      </c>
      <c r="H374" s="35" t="n">
        <v>2</v>
      </c>
      <c r="I374" s="36"/>
      <c r="J374" s="36"/>
      <c r="K374" s="36"/>
      <c r="L374" s="36"/>
      <c r="M374" s="33" t="str">
        <f aca="false">IF($J374="","",MATCH($J374,{"08.00";"09.00";"10.00";"11.00";"12.00";"13.00";"14.00";"15.00";"16.00";"17.00"},0))</f>
        <v/>
      </c>
      <c r="N374" s="33" t="str">
        <f aca="false">IF(OR($M374="",$K374=""),"",$M374+$K374-1)</f>
        <v/>
      </c>
      <c r="O374" s="33" t="str">
        <f aca="false">IF($A374&lt;&gt;"Seçildi","",IF(OR($M374="",$N374=""),"",IF($N374&gt;10,"⚠ Saat Taşıyor","")))</f>
        <v/>
      </c>
      <c r="P374" s="33" t="str">
        <f aca="false">IF($A374&lt;&gt;"Seçildi","",IF(OR($G374="",$I374="",$M374=""),"",IF(SUMPRODUCT(($A$7:$A$456="Seçildi")*($G$7:$G$456=$G374)*($I$7:$I$456=$I374)*(ROW($A$7:$A$456)&lt;&gt;374)*($M$7:$M$456&lt;=$N374)*($N$7:$N$456&gt;=$M374))&gt;0,"⚠ Çakışma","OK")))</f>
        <v/>
      </c>
      <c r="Q374" s="33" t="str">
        <f aca="false">IF($A374&lt;&gt;"Seçildi","",IF(OR($L374="",$I374="",$M374=""),"",IF(SUMPRODUCT(($A$7:$A$456="Seçildi")*($L$7:$L$456=$L374)*($I$7:$I$456=$I374)*(ROW($A$7:$A$456)&lt;&gt;374)*($M$7:$M$456&lt;=$N374)*($N$7:$N$456&gt;=$M374))&gt;0,"⚠ Çakışma","OK")))</f>
        <v/>
      </c>
      <c r="R374" s="33" t="str">
        <f aca="false">IF($A374&lt;&gt;"Seçildi","",IF(OR($D374="",$I374="",$M374=""),"",IF(SUMPRODUCT(($A$7:$A$456="Seçildi")*($D$7:$D$456=$D374)*($I$7:$I$456=$I374)*(ROW($A$7:$A$456)&lt;&gt;374)*($M$7:$M$456&lt;=$N374)*($N$7:$N$456&gt;=$M374))&gt;0,"⚠ Çakışma","OK")))</f>
        <v/>
      </c>
      <c r="S374" s="33"/>
      <c r="T374" s="33" t="str">
        <f aca="false">IF(OR($A374&lt;&gt;"Seçildi",AND($I374="",$J374="")),"",IF(OR($O374&lt;&gt;"",$P374="⚠ Çakışma",$Q374="⚠ Çakışma",$R374="⚠ Çakışma"),"⚠ Kontrol Et","✓ Uygun"))</f>
        <v/>
      </c>
    </row>
    <row r="375" customFormat="false" ht="13.5" hidden="false" customHeight="true" outlineLevel="0" collapsed="false">
      <c r="A375" s="33" t="n">
        <f aca="false">'1-Ders Havuzu'!K125</f>
        <v>0</v>
      </c>
      <c r="B375" s="33" t="str">
        <f aca="false">IF($A375="Seçildi",IF('1-Ders Havuzu'!C125="","",'1-Ders Havuzu'!C125),"")</f>
        <v/>
      </c>
      <c r="C375" s="34" t="str">
        <f aca="false">IF($A375="Seçildi",IF('1-Ders Havuzu'!D125="","",'1-Ders Havuzu'!D125),"")</f>
        <v/>
      </c>
      <c r="D375" s="33" t="str">
        <f aca="false">IF($A375="Seçildi",IF('1-Ders Havuzu'!B125="","",'1-Ders Havuzu'!B125),"")</f>
        <v/>
      </c>
      <c r="E375" s="33" t="str">
        <f aca="false">IF($A375="Seçildi",IF('1-Ders Havuzu'!A125="","",'1-Ders Havuzu'!A125),"")</f>
        <v/>
      </c>
      <c r="F375" s="33" t="str">
        <f aca="false">IF($A375="Seçildi",IF('1-Ders Havuzu'!H125="","",'1-Ders Havuzu'!H125),"")</f>
        <v/>
      </c>
      <c r="G375" s="33" t="str">
        <f aca="false">IF($A375="Seçildi",IF('2-Ders-Öğr.Elemanı Eşleştirme'!H125="","",'2-Ders-Öğr.Elemanı Eşleştirme'!H125),"")</f>
        <v/>
      </c>
      <c r="H375" s="35" t="n">
        <v>3</v>
      </c>
      <c r="I375" s="36"/>
      <c r="J375" s="36"/>
      <c r="K375" s="36"/>
      <c r="L375" s="36"/>
      <c r="M375" s="33" t="str">
        <f aca="false">IF($J375="","",MATCH($J375,{"08.00";"09.00";"10.00";"11.00";"12.00";"13.00";"14.00";"15.00";"16.00";"17.00"},0))</f>
        <v/>
      </c>
      <c r="N375" s="33" t="str">
        <f aca="false">IF(OR($M375="",$K375=""),"",$M375+$K375-1)</f>
        <v/>
      </c>
      <c r="O375" s="33" t="str">
        <f aca="false">IF($A375&lt;&gt;"Seçildi","",IF(OR($M375="",$N375=""),"",IF($N375&gt;10,"⚠ Saat Taşıyor","")))</f>
        <v/>
      </c>
      <c r="P375" s="33" t="str">
        <f aca="false">IF($A375&lt;&gt;"Seçildi","",IF(OR($G375="",$I375="",$M375=""),"",IF(SUMPRODUCT(($A$7:$A$456="Seçildi")*($G$7:$G$456=$G375)*($I$7:$I$456=$I375)*(ROW($A$7:$A$456)&lt;&gt;375)*($M$7:$M$456&lt;=$N375)*($N$7:$N$456&gt;=$M375))&gt;0,"⚠ Çakışma","OK")))</f>
        <v/>
      </c>
      <c r="Q375" s="33" t="str">
        <f aca="false">IF($A375&lt;&gt;"Seçildi","",IF(OR($L375="",$I375="",$M375=""),"",IF(SUMPRODUCT(($A$7:$A$456="Seçildi")*($L$7:$L$456=$L375)*($I$7:$I$456=$I375)*(ROW($A$7:$A$456)&lt;&gt;375)*($M$7:$M$456&lt;=$N375)*($N$7:$N$456&gt;=$M375))&gt;0,"⚠ Çakışma","OK")))</f>
        <v/>
      </c>
      <c r="R375" s="33" t="str">
        <f aca="false">IF($A375&lt;&gt;"Seçildi","",IF(OR($D375="",$I375="",$M375=""),"",IF(SUMPRODUCT(($A$7:$A$456="Seçildi")*($D$7:$D$456=$D375)*($I$7:$I$456=$I375)*(ROW($A$7:$A$456)&lt;&gt;375)*($M$7:$M$456&lt;=$N375)*($N$7:$N$456&gt;=$M375))&gt;0,"⚠ Çakışma","OK")))</f>
        <v/>
      </c>
      <c r="S375" s="33"/>
      <c r="T375" s="33" t="str">
        <f aca="false">IF(OR($A375&lt;&gt;"Seçildi",AND($I375="",$J375="")),"",IF(OR($O375&lt;&gt;"",$P375="⚠ Çakışma",$Q375="⚠ Çakışma",$R375="⚠ Çakışma"),"⚠ Kontrol Et","✓ Uygun"))</f>
        <v/>
      </c>
    </row>
    <row r="376" customFormat="false" ht="13.5" hidden="false" customHeight="true" outlineLevel="0" collapsed="false">
      <c r="A376" s="37" t="n">
        <f aca="false">'1-Ders Havuzu'!K126</f>
        <v>0</v>
      </c>
      <c r="B376" s="37" t="str">
        <f aca="false">IF($A376="Seçildi",IF('1-Ders Havuzu'!C126="","",'1-Ders Havuzu'!C126),"")</f>
        <v/>
      </c>
      <c r="C376" s="38" t="str">
        <f aca="false">IF($A376="Seçildi",IF('1-Ders Havuzu'!D126="","",'1-Ders Havuzu'!D126),"")</f>
        <v/>
      </c>
      <c r="D376" s="37" t="str">
        <f aca="false">IF($A376="Seçildi",IF('1-Ders Havuzu'!B126="","",'1-Ders Havuzu'!B126),"")</f>
        <v/>
      </c>
      <c r="E376" s="37" t="str">
        <f aca="false">IF($A376="Seçildi",IF('1-Ders Havuzu'!A126="","",'1-Ders Havuzu'!A126),"")</f>
        <v/>
      </c>
      <c r="F376" s="37" t="str">
        <f aca="false">IF($A376="Seçildi",IF('1-Ders Havuzu'!H126="","",'1-Ders Havuzu'!H126),"")</f>
        <v/>
      </c>
      <c r="G376" s="37" t="str">
        <f aca="false">IF($A376="Seçildi",IF('2-Ders-Öğr.Elemanı Eşleştirme'!H126="","",'2-Ders-Öğr.Elemanı Eşleştirme'!H126),"")</f>
        <v/>
      </c>
      <c r="H376" s="39" t="n">
        <v>1</v>
      </c>
      <c r="I376" s="36"/>
      <c r="J376" s="36"/>
      <c r="K376" s="36"/>
      <c r="L376" s="36"/>
      <c r="M376" s="37" t="str">
        <f aca="false">IF($J376="","",MATCH($J376,{"08.00";"09.00";"10.00";"11.00";"12.00";"13.00";"14.00";"15.00";"16.00";"17.00"},0))</f>
        <v/>
      </c>
      <c r="N376" s="37" t="str">
        <f aca="false">IF(OR($M376="",$K376=""),"",$M376+$K376-1)</f>
        <v/>
      </c>
      <c r="O376" s="37" t="str">
        <f aca="false">IF($A376&lt;&gt;"Seçildi","",IF(OR($M376="",$N376=""),"",IF($N376&gt;10,"⚠ Saat Taşıyor","")))</f>
        <v/>
      </c>
      <c r="P376" s="37" t="str">
        <f aca="false">IF($A376&lt;&gt;"Seçildi","",IF(OR($G376="",$I376="",$M376=""),"",IF(SUMPRODUCT(($A$7:$A$456="Seçildi")*($G$7:$G$456=$G376)*($I$7:$I$456=$I376)*(ROW($A$7:$A$456)&lt;&gt;376)*($M$7:$M$456&lt;=$N376)*($N$7:$N$456&gt;=$M376))&gt;0,"⚠ Çakışma","OK")))</f>
        <v/>
      </c>
      <c r="Q376" s="37" t="str">
        <f aca="false">IF($A376&lt;&gt;"Seçildi","",IF(OR($L376="",$I376="",$M376=""),"",IF(SUMPRODUCT(($A$7:$A$456="Seçildi")*($L$7:$L$456=$L376)*($I$7:$I$456=$I376)*(ROW($A$7:$A$456)&lt;&gt;376)*($M$7:$M$456&lt;=$N376)*($N$7:$N$456&gt;=$M376))&gt;0,"⚠ Çakışma","OK")))</f>
        <v/>
      </c>
      <c r="R376" s="37" t="str">
        <f aca="false">IF($A376&lt;&gt;"Seçildi","",IF(OR($D376="",$I376="",$M376=""),"",IF(SUMPRODUCT(($A$7:$A$456="Seçildi")*($D$7:$D$456=$D376)*($I$7:$I$456=$I376)*(ROW($A$7:$A$456)&lt;&gt;376)*($M$7:$M$456&lt;=$N376)*($N$7:$N$456&gt;=$M376))&gt;0,"⚠ Çakışma","OK")))</f>
        <v/>
      </c>
      <c r="S376" s="37" t="str">
        <f aca="false">IF($A376&lt;&gt;"Seçildi","",IF(SUM($K376,$K377,$K378)&lt;&gt;$F376,"⚠ Dağılım: "&amp;SUM($K376:$K378)&amp;"/"&amp;$F376&amp;" saat","✓ Tamam"))</f>
        <v/>
      </c>
      <c r="T376" s="37" t="str">
        <f aca="false">IF($A376&lt;&gt;"Seçildi","",IF(OR($O376&lt;&gt;"",$P376="⚠ Çakışma",$Q376="⚠ Çakışma",$R376="⚠ Çakışma",LEFT($S376&amp;" ",1)="⚠"),"⚠ Kontrol Et","✓ Uygun"))</f>
        <v/>
      </c>
    </row>
    <row r="377" customFormat="false" ht="13.5" hidden="false" customHeight="true" outlineLevel="0" collapsed="false">
      <c r="A377" s="37" t="n">
        <f aca="false">'1-Ders Havuzu'!K126</f>
        <v>0</v>
      </c>
      <c r="B377" s="37" t="str">
        <f aca="false">IF($A377="Seçildi",IF('1-Ders Havuzu'!C126="","",'1-Ders Havuzu'!C126),"")</f>
        <v/>
      </c>
      <c r="C377" s="38" t="str">
        <f aca="false">IF($A377="Seçildi",IF('1-Ders Havuzu'!D126="","",'1-Ders Havuzu'!D126),"")</f>
        <v/>
      </c>
      <c r="D377" s="37" t="str">
        <f aca="false">IF($A377="Seçildi",IF('1-Ders Havuzu'!B126="","",'1-Ders Havuzu'!B126),"")</f>
        <v/>
      </c>
      <c r="E377" s="37" t="str">
        <f aca="false">IF($A377="Seçildi",IF('1-Ders Havuzu'!A126="","",'1-Ders Havuzu'!A126),"")</f>
        <v/>
      </c>
      <c r="F377" s="37" t="str">
        <f aca="false">IF($A377="Seçildi",IF('1-Ders Havuzu'!H126="","",'1-Ders Havuzu'!H126),"")</f>
        <v/>
      </c>
      <c r="G377" s="37" t="str">
        <f aca="false">IF($A377="Seçildi",IF('2-Ders-Öğr.Elemanı Eşleştirme'!H126="","",'2-Ders-Öğr.Elemanı Eşleştirme'!H126),"")</f>
        <v/>
      </c>
      <c r="H377" s="39" t="n">
        <v>2</v>
      </c>
      <c r="I377" s="36"/>
      <c r="J377" s="36"/>
      <c r="K377" s="36"/>
      <c r="L377" s="36"/>
      <c r="M377" s="37" t="str">
        <f aca="false">IF($J377="","",MATCH($J377,{"08.00";"09.00";"10.00";"11.00";"12.00";"13.00";"14.00";"15.00";"16.00";"17.00"},0))</f>
        <v/>
      </c>
      <c r="N377" s="37" t="str">
        <f aca="false">IF(OR($M377="",$K377=""),"",$M377+$K377-1)</f>
        <v/>
      </c>
      <c r="O377" s="37" t="str">
        <f aca="false">IF($A377&lt;&gt;"Seçildi","",IF(OR($M377="",$N377=""),"",IF($N377&gt;10,"⚠ Saat Taşıyor","")))</f>
        <v/>
      </c>
      <c r="P377" s="37" t="str">
        <f aca="false">IF($A377&lt;&gt;"Seçildi","",IF(OR($G377="",$I377="",$M377=""),"",IF(SUMPRODUCT(($A$7:$A$456="Seçildi")*($G$7:$G$456=$G377)*($I$7:$I$456=$I377)*(ROW($A$7:$A$456)&lt;&gt;377)*($M$7:$M$456&lt;=$N377)*($N$7:$N$456&gt;=$M377))&gt;0,"⚠ Çakışma","OK")))</f>
        <v/>
      </c>
      <c r="Q377" s="37" t="str">
        <f aca="false">IF($A377&lt;&gt;"Seçildi","",IF(OR($L377="",$I377="",$M377=""),"",IF(SUMPRODUCT(($A$7:$A$456="Seçildi")*($L$7:$L$456=$L377)*($I$7:$I$456=$I377)*(ROW($A$7:$A$456)&lt;&gt;377)*($M$7:$M$456&lt;=$N377)*($N$7:$N$456&gt;=$M377))&gt;0,"⚠ Çakışma","OK")))</f>
        <v/>
      </c>
      <c r="R377" s="37" t="str">
        <f aca="false">IF($A377&lt;&gt;"Seçildi","",IF(OR($D377="",$I377="",$M377=""),"",IF(SUMPRODUCT(($A$7:$A$456="Seçildi")*($D$7:$D$456=$D377)*($I$7:$I$456=$I377)*(ROW($A$7:$A$456)&lt;&gt;377)*($M$7:$M$456&lt;=$N377)*($N$7:$N$456&gt;=$M377))&gt;0,"⚠ Çakışma","OK")))</f>
        <v/>
      </c>
      <c r="S377" s="37"/>
      <c r="T377" s="37" t="str">
        <f aca="false">IF(OR($A377&lt;&gt;"Seçildi",AND($I377="",$J377="")),"",IF(OR($O377&lt;&gt;"",$P377="⚠ Çakışma",$Q377="⚠ Çakışma",$R377="⚠ Çakışma"),"⚠ Kontrol Et","✓ Uygun"))</f>
        <v/>
      </c>
    </row>
    <row r="378" customFormat="false" ht="13.5" hidden="false" customHeight="true" outlineLevel="0" collapsed="false">
      <c r="A378" s="37" t="n">
        <f aca="false">'1-Ders Havuzu'!K126</f>
        <v>0</v>
      </c>
      <c r="B378" s="37" t="str">
        <f aca="false">IF($A378="Seçildi",IF('1-Ders Havuzu'!C126="","",'1-Ders Havuzu'!C126),"")</f>
        <v/>
      </c>
      <c r="C378" s="38" t="str">
        <f aca="false">IF($A378="Seçildi",IF('1-Ders Havuzu'!D126="","",'1-Ders Havuzu'!D126),"")</f>
        <v/>
      </c>
      <c r="D378" s="37" t="str">
        <f aca="false">IF($A378="Seçildi",IF('1-Ders Havuzu'!B126="","",'1-Ders Havuzu'!B126),"")</f>
        <v/>
      </c>
      <c r="E378" s="37" t="str">
        <f aca="false">IF($A378="Seçildi",IF('1-Ders Havuzu'!A126="","",'1-Ders Havuzu'!A126),"")</f>
        <v/>
      </c>
      <c r="F378" s="37" t="str">
        <f aca="false">IF($A378="Seçildi",IF('1-Ders Havuzu'!H126="","",'1-Ders Havuzu'!H126),"")</f>
        <v/>
      </c>
      <c r="G378" s="37" t="str">
        <f aca="false">IF($A378="Seçildi",IF('2-Ders-Öğr.Elemanı Eşleştirme'!H126="","",'2-Ders-Öğr.Elemanı Eşleştirme'!H126),"")</f>
        <v/>
      </c>
      <c r="H378" s="39" t="n">
        <v>3</v>
      </c>
      <c r="I378" s="36"/>
      <c r="J378" s="36"/>
      <c r="K378" s="36"/>
      <c r="L378" s="36"/>
      <c r="M378" s="37" t="str">
        <f aca="false">IF($J378="","",MATCH($J378,{"08.00";"09.00";"10.00";"11.00";"12.00";"13.00";"14.00";"15.00";"16.00";"17.00"},0))</f>
        <v/>
      </c>
      <c r="N378" s="37" t="str">
        <f aca="false">IF(OR($M378="",$K378=""),"",$M378+$K378-1)</f>
        <v/>
      </c>
      <c r="O378" s="37" t="str">
        <f aca="false">IF($A378&lt;&gt;"Seçildi","",IF(OR($M378="",$N378=""),"",IF($N378&gt;10,"⚠ Saat Taşıyor","")))</f>
        <v/>
      </c>
      <c r="P378" s="37" t="str">
        <f aca="false">IF($A378&lt;&gt;"Seçildi","",IF(OR($G378="",$I378="",$M378=""),"",IF(SUMPRODUCT(($A$7:$A$456="Seçildi")*($G$7:$G$456=$G378)*($I$7:$I$456=$I378)*(ROW($A$7:$A$456)&lt;&gt;378)*($M$7:$M$456&lt;=$N378)*($N$7:$N$456&gt;=$M378))&gt;0,"⚠ Çakışma","OK")))</f>
        <v/>
      </c>
      <c r="Q378" s="37" t="str">
        <f aca="false">IF($A378&lt;&gt;"Seçildi","",IF(OR($L378="",$I378="",$M378=""),"",IF(SUMPRODUCT(($A$7:$A$456="Seçildi")*($L$7:$L$456=$L378)*($I$7:$I$456=$I378)*(ROW($A$7:$A$456)&lt;&gt;378)*($M$7:$M$456&lt;=$N378)*($N$7:$N$456&gt;=$M378))&gt;0,"⚠ Çakışma","OK")))</f>
        <v/>
      </c>
      <c r="R378" s="37" t="str">
        <f aca="false">IF($A378&lt;&gt;"Seçildi","",IF(OR($D378="",$I378="",$M378=""),"",IF(SUMPRODUCT(($A$7:$A$456="Seçildi")*($D$7:$D$456=$D378)*($I$7:$I$456=$I378)*(ROW($A$7:$A$456)&lt;&gt;378)*($M$7:$M$456&lt;=$N378)*($N$7:$N$456&gt;=$M378))&gt;0,"⚠ Çakışma","OK")))</f>
        <v/>
      </c>
      <c r="S378" s="37"/>
      <c r="T378" s="37" t="str">
        <f aca="false">IF(OR($A378&lt;&gt;"Seçildi",AND($I378="",$J378="")),"",IF(OR($O378&lt;&gt;"",$P378="⚠ Çakışma",$Q378="⚠ Çakışma",$R378="⚠ Çakışma"),"⚠ Kontrol Et","✓ Uygun"))</f>
        <v/>
      </c>
    </row>
    <row r="379" customFormat="false" ht="13.5" hidden="false" customHeight="true" outlineLevel="0" collapsed="false">
      <c r="A379" s="33" t="n">
        <f aca="false">'1-Ders Havuzu'!K127</f>
        <v>0</v>
      </c>
      <c r="B379" s="33" t="str">
        <f aca="false">IF($A379="Seçildi",IF('1-Ders Havuzu'!C127="","",'1-Ders Havuzu'!C127),"")</f>
        <v/>
      </c>
      <c r="C379" s="34" t="str">
        <f aca="false">IF($A379="Seçildi",IF('1-Ders Havuzu'!D127="","",'1-Ders Havuzu'!D127),"")</f>
        <v/>
      </c>
      <c r="D379" s="33" t="str">
        <f aca="false">IF($A379="Seçildi",IF('1-Ders Havuzu'!B127="","",'1-Ders Havuzu'!B127),"")</f>
        <v/>
      </c>
      <c r="E379" s="33" t="str">
        <f aca="false">IF($A379="Seçildi",IF('1-Ders Havuzu'!A127="","",'1-Ders Havuzu'!A127),"")</f>
        <v/>
      </c>
      <c r="F379" s="33" t="str">
        <f aca="false">IF($A379="Seçildi",IF('1-Ders Havuzu'!H127="","",'1-Ders Havuzu'!H127),"")</f>
        <v/>
      </c>
      <c r="G379" s="33" t="str">
        <f aca="false">IF($A379="Seçildi",IF('2-Ders-Öğr.Elemanı Eşleştirme'!H127="","",'2-Ders-Öğr.Elemanı Eşleştirme'!H127),"")</f>
        <v/>
      </c>
      <c r="H379" s="35" t="n">
        <v>1</v>
      </c>
      <c r="I379" s="36"/>
      <c r="J379" s="36"/>
      <c r="K379" s="36"/>
      <c r="L379" s="36"/>
      <c r="M379" s="33" t="str">
        <f aca="false">IF($J379="","",MATCH($J379,{"08.00";"09.00";"10.00";"11.00";"12.00";"13.00";"14.00";"15.00";"16.00";"17.00"},0))</f>
        <v/>
      </c>
      <c r="N379" s="33" t="str">
        <f aca="false">IF(OR($M379="",$K379=""),"",$M379+$K379-1)</f>
        <v/>
      </c>
      <c r="O379" s="33" t="str">
        <f aca="false">IF($A379&lt;&gt;"Seçildi","",IF(OR($M379="",$N379=""),"",IF($N379&gt;10,"⚠ Saat Taşıyor","")))</f>
        <v/>
      </c>
      <c r="P379" s="33" t="str">
        <f aca="false">IF($A379&lt;&gt;"Seçildi","",IF(OR($G379="",$I379="",$M379=""),"",IF(SUMPRODUCT(($A$7:$A$456="Seçildi")*($G$7:$G$456=$G379)*($I$7:$I$456=$I379)*(ROW($A$7:$A$456)&lt;&gt;379)*($M$7:$M$456&lt;=$N379)*($N$7:$N$456&gt;=$M379))&gt;0,"⚠ Çakışma","OK")))</f>
        <v/>
      </c>
      <c r="Q379" s="33" t="str">
        <f aca="false">IF($A379&lt;&gt;"Seçildi","",IF(OR($L379="",$I379="",$M379=""),"",IF(SUMPRODUCT(($A$7:$A$456="Seçildi")*($L$7:$L$456=$L379)*($I$7:$I$456=$I379)*(ROW($A$7:$A$456)&lt;&gt;379)*($M$7:$M$456&lt;=$N379)*($N$7:$N$456&gt;=$M379))&gt;0,"⚠ Çakışma","OK")))</f>
        <v/>
      </c>
      <c r="R379" s="33" t="str">
        <f aca="false">IF($A379&lt;&gt;"Seçildi","",IF(OR($D379="",$I379="",$M379=""),"",IF(SUMPRODUCT(($A$7:$A$456="Seçildi")*($D$7:$D$456=$D379)*($I$7:$I$456=$I379)*(ROW($A$7:$A$456)&lt;&gt;379)*($M$7:$M$456&lt;=$N379)*($N$7:$N$456&gt;=$M379))&gt;0,"⚠ Çakışma","OK")))</f>
        <v/>
      </c>
      <c r="S379" s="33" t="str">
        <f aca="false">IF($A379&lt;&gt;"Seçildi","",IF(SUM($K379,$K380,$K381)&lt;&gt;$F379,"⚠ Dağılım: "&amp;SUM($K379:$K381)&amp;"/"&amp;$F379&amp;" saat","✓ Tamam"))</f>
        <v/>
      </c>
      <c r="T379" s="33" t="str">
        <f aca="false">IF($A379&lt;&gt;"Seçildi","",IF(OR($O379&lt;&gt;"",$P379="⚠ Çakışma",$Q379="⚠ Çakışma",$R379="⚠ Çakışma",LEFT($S379&amp;" ",1)="⚠"),"⚠ Kontrol Et","✓ Uygun"))</f>
        <v/>
      </c>
    </row>
    <row r="380" customFormat="false" ht="13.5" hidden="false" customHeight="true" outlineLevel="0" collapsed="false">
      <c r="A380" s="33" t="n">
        <f aca="false">'1-Ders Havuzu'!K127</f>
        <v>0</v>
      </c>
      <c r="B380" s="33" t="str">
        <f aca="false">IF($A380="Seçildi",IF('1-Ders Havuzu'!C127="","",'1-Ders Havuzu'!C127),"")</f>
        <v/>
      </c>
      <c r="C380" s="34" t="str">
        <f aca="false">IF($A380="Seçildi",IF('1-Ders Havuzu'!D127="","",'1-Ders Havuzu'!D127),"")</f>
        <v/>
      </c>
      <c r="D380" s="33" t="str">
        <f aca="false">IF($A380="Seçildi",IF('1-Ders Havuzu'!B127="","",'1-Ders Havuzu'!B127),"")</f>
        <v/>
      </c>
      <c r="E380" s="33" t="str">
        <f aca="false">IF($A380="Seçildi",IF('1-Ders Havuzu'!A127="","",'1-Ders Havuzu'!A127),"")</f>
        <v/>
      </c>
      <c r="F380" s="33" t="str">
        <f aca="false">IF($A380="Seçildi",IF('1-Ders Havuzu'!H127="","",'1-Ders Havuzu'!H127),"")</f>
        <v/>
      </c>
      <c r="G380" s="33" t="str">
        <f aca="false">IF($A380="Seçildi",IF('2-Ders-Öğr.Elemanı Eşleştirme'!H127="","",'2-Ders-Öğr.Elemanı Eşleştirme'!H127),"")</f>
        <v/>
      </c>
      <c r="H380" s="35" t="n">
        <v>2</v>
      </c>
      <c r="I380" s="36"/>
      <c r="J380" s="36"/>
      <c r="K380" s="36"/>
      <c r="L380" s="36"/>
      <c r="M380" s="33" t="str">
        <f aca="false">IF($J380="","",MATCH($J380,{"08.00";"09.00";"10.00";"11.00";"12.00";"13.00";"14.00";"15.00";"16.00";"17.00"},0))</f>
        <v/>
      </c>
      <c r="N380" s="33" t="str">
        <f aca="false">IF(OR($M380="",$K380=""),"",$M380+$K380-1)</f>
        <v/>
      </c>
      <c r="O380" s="33" t="str">
        <f aca="false">IF($A380&lt;&gt;"Seçildi","",IF(OR($M380="",$N380=""),"",IF($N380&gt;10,"⚠ Saat Taşıyor","")))</f>
        <v/>
      </c>
      <c r="P380" s="33" t="str">
        <f aca="false">IF($A380&lt;&gt;"Seçildi","",IF(OR($G380="",$I380="",$M380=""),"",IF(SUMPRODUCT(($A$7:$A$456="Seçildi")*($G$7:$G$456=$G380)*($I$7:$I$456=$I380)*(ROW($A$7:$A$456)&lt;&gt;380)*($M$7:$M$456&lt;=$N380)*($N$7:$N$456&gt;=$M380))&gt;0,"⚠ Çakışma","OK")))</f>
        <v/>
      </c>
      <c r="Q380" s="33" t="str">
        <f aca="false">IF($A380&lt;&gt;"Seçildi","",IF(OR($L380="",$I380="",$M380=""),"",IF(SUMPRODUCT(($A$7:$A$456="Seçildi")*($L$7:$L$456=$L380)*($I$7:$I$456=$I380)*(ROW($A$7:$A$456)&lt;&gt;380)*($M$7:$M$456&lt;=$N380)*($N$7:$N$456&gt;=$M380))&gt;0,"⚠ Çakışma","OK")))</f>
        <v/>
      </c>
      <c r="R380" s="33" t="str">
        <f aca="false">IF($A380&lt;&gt;"Seçildi","",IF(OR($D380="",$I380="",$M380=""),"",IF(SUMPRODUCT(($A$7:$A$456="Seçildi")*($D$7:$D$456=$D380)*($I$7:$I$456=$I380)*(ROW($A$7:$A$456)&lt;&gt;380)*($M$7:$M$456&lt;=$N380)*($N$7:$N$456&gt;=$M380))&gt;0,"⚠ Çakışma","OK")))</f>
        <v/>
      </c>
      <c r="S380" s="33"/>
      <c r="T380" s="33" t="str">
        <f aca="false">IF(OR($A380&lt;&gt;"Seçildi",AND($I380="",$J380="")),"",IF(OR($O380&lt;&gt;"",$P380="⚠ Çakışma",$Q380="⚠ Çakışma",$R380="⚠ Çakışma"),"⚠ Kontrol Et","✓ Uygun"))</f>
        <v/>
      </c>
    </row>
    <row r="381" customFormat="false" ht="13.5" hidden="false" customHeight="true" outlineLevel="0" collapsed="false">
      <c r="A381" s="33" t="n">
        <f aca="false">'1-Ders Havuzu'!K127</f>
        <v>0</v>
      </c>
      <c r="B381" s="33" t="str">
        <f aca="false">IF($A381="Seçildi",IF('1-Ders Havuzu'!C127="","",'1-Ders Havuzu'!C127),"")</f>
        <v/>
      </c>
      <c r="C381" s="34" t="str">
        <f aca="false">IF($A381="Seçildi",IF('1-Ders Havuzu'!D127="","",'1-Ders Havuzu'!D127),"")</f>
        <v/>
      </c>
      <c r="D381" s="33" t="str">
        <f aca="false">IF($A381="Seçildi",IF('1-Ders Havuzu'!B127="","",'1-Ders Havuzu'!B127),"")</f>
        <v/>
      </c>
      <c r="E381" s="33" t="str">
        <f aca="false">IF($A381="Seçildi",IF('1-Ders Havuzu'!A127="","",'1-Ders Havuzu'!A127),"")</f>
        <v/>
      </c>
      <c r="F381" s="33" t="str">
        <f aca="false">IF($A381="Seçildi",IF('1-Ders Havuzu'!H127="","",'1-Ders Havuzu'!H127),"")</f>
        <v/>
      </c>
      <c r="G381" s="33" t="str">
        <f aca="false">IF($A381="Seçildi",IF('2-Ders-Öğr.Elemanı Eşleştirme'!H127="","",'2-Ders-Öğr.Elemanı Eşleştirme'!H127),"")</f>
        <v/>
      </c>
      <c r="H381" s="35" t="n">
        <v>3</v>
      </c>
      <c r="I381" s="36"/>
      <c r="J381" s="36"/>
      <c r="K381" s="36"/>
      <c r="L381" s="36"/>
      <c r="M381" s="33" t="str">
        <f aca="false">IF($J381="","",MATCH($J381,{"08.00";"09.00";"10.00";"11.00";"12.00";"13.00";"14.00";"15.00";"16.00";"17.00"},0))</f>
        <v/>
      </c>
      <c r="N381" s="33" t="str">
        <f aca="false">IF(OR($M381="",$K381=""),"",$M381+$K381-1)</f>
        <v/>
      </c>
      <c r="O381" s="33" t="str">
        <f aca="false">IF($A381&lt;&gt;"Seçildi","",IF(OR($M381="",$N381=""),"",IF($N381&gt;10,"⚠ Saat Taşıyor","")))</f>
        <v/>
      </c>
      <c r="P381" s="33" t="str">
        <f aca="false">IF($A381&lt;&gt;"Seçildi","",IF(OR($G381="",$I381="",$M381=""),"",IF(SUMPRODUCT(($A$7:$A$456="Seçildi")*($G$7:$G$456=$G381)*($I$7:$I$456=$I381)*(ROW($A$7:$A$456)&lt;&gt;381)*($M$7:$M$456&lt;=$N381)*($N$7:$N$456&gt;=$M381))&gt;0,"⚠ Çakışma","OK")))</f>
        <v/>
      </c>
      <c r="Q381" s="33" t="str">
        <f aca="false">IF($A381&lt;&gt;"Seçildi","",IF(OR($L381="",$I381="",$M381=""),"",IF(SUMPRODUCT(($A$7:$A$456="Seçildi")*($L$7:$L$456=$L381)*($I$7:$I$456=$I381)*(ROW($A$7:$A$456)&lt;&gt;381)*($M$7:$M$456&lt;=$N381)*($N$7:$N$456&gt;=$M381))&gt;0,"⚠ Çakışma","OK")))</f>
        <v/>
      </c>
      <c r="R381" s="33" t="str">
        <f aca="false">IF($A381&lt;&gt;"Seçildi","",IF(OR($D381="",$I381="",$M381=""),"",IF(SUMPRODUCT(($A$7:$A$456="Seçildi")*($D$7:$D$456=$D381)*($I$7:$I$456=$I381)*(ROW($A$7:$A$456)&lt;&gt;381)*($M$7:$M$456&lt;=$N381)*($N$7:$N$456&gt;=$M381))&gt;0,"⚠ Çakışma","OK")))</f>
        <v/>
      </c>
      <c r="S381" s="33"/>
      <c r="T381" s="33" t="str">
        <f aca="false">IF(OR($A381&lt;&gt;"Seçildi",AND($I381="",$J381="")),"",IF(OR($O381&lt;&gt;"",$P381="⚠ Çakışma",$Q381="⚠ Çakışma",$R381="⚠ Çakışma"),"⚠ Kontrol Et","✓ Uygun"))</f>
        <v/>
      </c>
    </row>
    <row r="382" customFormat="false" ht="13.5" hidden="false" customHeight="true" outlineLevel="0" collapsed="false">
      <c r="A382" s="37" t="n">
        <f aca="false">'1-Ders Havuzu'!K128</f>
        <v>0</v>
      </c>
      <c r="B382" s="37" t="str">
        <f aca="false">IF($A382="Seçildi",IF('1-Ders Havuzu'!C128="","",'1-Ders Havuzu'!C128),"")</f>
        <v/>
      </c>
      <c r="C382" s="38" t="str">
        <f aca="false">IF($A382="Seçildi",IF('1-Ders Havuzu'!D128="","",'1-Ders Havuzu'!D128),"")</f>
        <v/>
      </c>
      <c r="D382" s="37" t="str">
        <f aca="false">IF($A382="Seçildi",IF('1-Ders Havuzu'!B128="","",'1-Ders Havuzu'!B128),"")</f>
        <v/>
      </c>
      <c r="E382" s="37" t="str">
        <f aca="false">IF($A382="Seçildi",IF('1-Ders Havuzu'!A128="","",'1-Ders Havuzu'!A128),"")</f>
        <v/>
      </c>
      <c r="F382" s="37" t="str">
        <f aca="false">IF($A382="Seçildi",IF('1-Ders Havuzu'!H128="","",'1-Ders Havuzu'!H128),"")</f>
        <v/>
      </c>
      <c r="G382" s="37" t="str">
        <f aca="false">IF($A382="Seçildi",IF('2-Ders-Öğr.Elemanı Eşleştirme'!H128="","",'2-Ders-Öğr.Elemanı Eşleştirme'!H128),"")</f>
        <v/>
      </c>
      <c r="H382" s="39" t="n">
        <v>1</v>
      </c>
      <c r="I382" s="36"/>
      <c r="J382" s="36"/>
      <c r="K382" s="36"/>
      <c r="L382" s="36"/>
      <c r="M382" s="37" t="str">
        <f aca="false">IF($J382="","",MATCH($J382,{"08.00";"09.00";"10.00";"11.00";"12.00";"13.00";"14.00";"15.00";"16.00";"17.00"},0))</f>
        <v/>
      </c>
      <c r="N382" s="37" t="str">
        <f aca="false">IF(OR($M382="",$K382=""),"",$M382+$K382-1)</f>
        <v/>
      </c>
      <c r="O382" s="37" t="str">
        <f aca="false">IF($A382&lt;&gt;"Seçildi","",IF(OR($M382="",$N382=""),"",IF($N382&gt;10,"⚠ Saat Taşıyor","")))</f>
        <v/>
      </c>
      <c r="P382" s="37" t="str">
        <f aca="false">IF($A382&lt;&gt;"Seçildi","",IF(OR($G382="",$I382="",$M382=""),"",IF(SUMPRODUCT(($A$7:$A$456="Seçildi")*($G$7:$G$456=$G382)*($I$7:$I$456=$I382)*(ROW($A$7:$A$456)&lt;&gt;382)*($M$7:$M$456&lt;=$N382)*($N$7:$N$456&gt;=$M382))&gt;0,"⚠ Çakışma","OK")))</f>
        <v/>
      </c>
      <c r="Q382" s="37" t="str">
        <f aca="false">IF($A382&lt;&gt;"Seçildi","",IF(OR($L382="",$I382="",$M382=""),"",IF(SUMPRODUCT(($A$7:$A$456="Seçildi")*($L$7:$L$456=$L382)*($I$7:$I$456=$I382)*(ROW($A$7:$A$456)&lt;&gt;382)*($M$7:$M$456&lt;=$N382)*($N$7:$N$456&gt;=$M382))&gt;0,"⚠ Çakışma","OK")))</f>
        <v/>
      </c>
      <c r="R382" s="37" t="str">
        <f aca="false">IF($A382&lt;&gt;"Seçildi","",IF(OR($D382="",$I382="",$M382=""),"",IF(SUMPRODUCT(($A$7:$A$456="Seçildi")*($D$7:$D$456=$D382)*($I$7:$I$456=$I382)*(ROW($A$7:$A$456)&lt;&gt;382)*($M$7:$M$456&lt;=$N382)*($N$7:$N$456&gt;=$M382))&gt;0,"⚠ Çakışma","OK")))</f>
        <v/>
      </c>
      <c r="S382" s="37" t="str">
        <f aca="false">IF($A382&lt;&gt;"Seçildi","",IF(SUM($K382,$K383,$K384)&lt;&gt;$F382,"⚠ Dağılım: "&amp;SUM($K382:$K384)&amp;"/"&amp;$F382&amp;" saat","✓ Tamam"))</f>
        <v/>
      </c>
      <c r="T382" s="37" t="str">
        <f aca="false">IF($A382&lt;&gt;"Seçildi","",IF(OR($O382&lt;&gt;"",$P382="⚠ Çakışma",$Q382="⚠ Çakışma",$R382="⚠ Çakışma",LEFT($S382&amp;" ",1)="⚠"),"⚠ Kontrol Et","✓ Uygun"))</f>
        <v/>
      </c>
    </row>
    <row r="383" customFormat="false" ht="13.5" hidden="false" customHeight="true" outlineLevel="0" collapsed="false">
      <c r="A383" s="37" t="n">
        <f aca="false">'1-Ders Havuzu'!K128</f>
        <v>0</v>
      </c>
      <c r="B383" s="37" t="str">
        <f aca="false">IF($A383="Seçildi",IF('1-Ders Havuzu'!C128="","",'1-Ders Havuzu'!C128),"")</f>
        <v/>
      </c>
      <c r="C383" s="38" t="str">
        <f aca="false">IF($A383="Seçildi",IF('1-Ders Havuzu'!D128="","",'1-Ders Havuzu'!D128),"")</f>
        <v/>
      </c>
      <c r="D383" s="37" t="str">
        <f aca="false">IF($A383="Seçildi",IF('1-Ders Havuzu'!B128="","",'1-Ders Havuzu'!B128),"")</f>
        <v/>
      </c>
      <c r="E383" s="37" t="str">
        <f aca="false">IF($A383="Seçildi",IF('1-Ders Havuzu'!A128="","",'1-Ders Havuzu'!A128),"")</f>
        <v/>
      </c>
      <c r="F383" s="37" t="str">
        <f aca="false">IF($A383="Seçildi",IF('1-Ders Havuzu'!H128="","",'1-Ders Havuzu'!H128),"")</f>
        <v/>
      </c>
      <c r="G383" s="37" t="str">
        <f aca="false">IF($A383="Seçildi",IF('2-Ders-Öğr.Elemanı Eşleştirme'!H128="","",'2-Ders-Öğr.Elemanı Eşleştirme'!H128),"")</f>
        <v/>
      </c>
      <c r="H383" s="39" t="n">
        <v>2</v>
      </c>
      <c r="I383" s="36"/>
      <c r="J383" s="36"/>
      <c r="K383" s="36"/>
      <c r="L383" s="36"/>
      <c r="M383" s="37" t="str">
        <f aca="false">IF($J383="","",MATCH($J383,{"08.00";"09.00";"10.00";"11.00";"12.00";"13.00";"14.00";"15.00";"16.00";"17.00"},0))</f>
        <v/>
      </c>
      <c r="N383" s="37" t="str">
        <f aca="false">IF(OR($M383="",$K383=""),"",$M383+$K383-1)</f>
        <v/>
      </c>
      <c r="O383" s="37" t="str">
        <f aca="false">IF($A383&lt;&gt;"Seçildi","",IF(OR($M383="",$N383=""),"",IF($N383&gt;10,"⚠ Saat Taşıyor","")))</f>
        <v/>
      </c>
      <c r="P383" s="37" t="str">
        <f aca="false">IF($A383&lt;&gt;"Seçildi","",IF(OR($G383="",$I383="",$M383=""),"",IF(SUMPRODUCT(($A$7:$A$456="Seçildi")*($G$7:$G$456=$G383)*($I$7:$I$456=$I383)*(ROW($A$7:$A$456)&lt;&gt;383)*($M$7:$M$456&lt;=$N383)*($N$7:$N$456&gt;=$M383))&gt;0,"⚠ Çakışma","OK")))</f>
        <v/>
      </c>
      <c r="Q383" s="37" t="str">
        <f aca="false">IF($A383&lt;&gt;"Seçildi","",IF(OR($L383="",$I383="",$M383=""),"",IF(SUMPRODUCT(($A$7:$A$456="Seçildi")*($L$7:$L$456=$L383)*($I$7:$I$456=$I383)*(ROW($A$7:$A$456)&lt;&gt;383)*($M$7:$M$456&lt;=$N383)*($N$7:$N$456&gt;=$M383))&gt;0,"⚠ Çakışma","OK")))</f>
        <v/>
      </c>
      <c r="R383" s="37" t="str">
        <f aca="false">IF($A383&lt;&gt;"Seçildi","",IF(OR($D383="",$I383="",$M383=""),"",IF(SUMPRODUCT(($A$7:$A$456="Seçildi")*($D$7:$D$456=$D383)*($I$7:$I$456=$I383)*(ROW($A$7:$A$456)&lt;&gt;383)*($M$7:$M$456&lt;=$N383)*($N$7:$N$456&gt;=$M383))&gt;0,"⚠ Çakışma","OK")))</f>
        <v/>
      </c>
      <c r="S383" s="37"/>
      <c r="T383" s="37" t="str">
        <f aca="false">IF(OR($A383&lt;&gt;"Seçildi",AND($I383="",$J383="")),"",IF(OR($O383&lt;&gt;"",$P383="⚠ Çakışma",$Q383="⚠ Çakışma",$R383="⚠ Çakışma"),"⚠ Kontrol Et","✓ Uygun"))</f>
        <v/>
      </c>
    </row>
    <row r="384" customFormat="false" ht="13.5" hidden="false" customHeight="true" outlineLevel="0" collapsed="false">
      <c r="A384" s="37" t="n">
        <f aca="false">'1-Ders Havuzu'!K128</f>
        <v>0</v>
      </c>
      <c r="B384" s="37" t="str">
        <f aca="false">IF($A384="Seçildi",IF('1-Ders Havuzu'!C128="","",'1-Ders Havuzu'!C128),"")</f>
        <v/>
      </c>
      <c r="C384" s="38" t="str">
        <f aca="false">IF($A384="Seçildi",IF('1-Ders Havuzu'!D128="","",'1-Ders Havuzu'!D128),"")</f>
        <v/>
      </c>
      <c r="D384" s="37" t="str">
        <f aca="false">IF($A384="Seçildi",IF('1-Ders Havuzu'!B128="","",'1-Ders Havuzu'!B128),"")</f>
        <v/>
      </c>
      <c r="E384" s="37" t="str">
        <f aca="false">IF($A384="Seçildi",IF('1-Ders Havuzu'!A128="","",'1-Ders Havuzu'!A128),"")</f>
        <v/>
      </c>
      <c r="F384" s="37" t="str">
        <f aca="false">IF($A384="Seçildi",IF('1-Ders Havuzu'!H128="","",'1-Ders Havuzu'!H128),"")</f>
        <v/>
      </c>
      <c r="G384" s="37" t="str">
        <f aca="false">IF($A384="Seçildi",IF('2-Ders-Öğr.Elemanı Eşleştirme'!H128="","",'2-Ders-Öğr.Elemanı Eşleştirme'!H128),"")</f>
        <v/>
      </c>
      <c r="H384" s="39" t="n">
        <v>3</v>
      </c>
      <c r="I384" s="36"/>
      <c r="J384" s="36"/>
      <c r="K384" s="36"/>
      <c r="L384" s="36"/>
      <c r="M384" s="37" t="str">
        <f aca="false">IF($J384="","",MATCH($J384,{"08.00";"09.00";"10.00";"11.00";"12.00";"13.00";"14.00";"15.00";"16.00";"17.00"},0))</f>
        <v/>
      </c>
      <c r="N384" s="37" t="str">
        <f aca="false">IF(OR($M384="",$K384=""),"",$M384+$K384-1)</f>
        <v/>
      </c>
      <c r="O384" s="37" t="str">
        <f aca="false">IF($A384&lt;&gt;"Seçildi","",IF(OR($M384="",$N384=""),"",IF($N384&gt;10,"⚠ Saat Taşıyor","")))</f>
        <v/>
      </c>
      <c r="P384" s="37" t="str">
        <f aca="false">IF($A384&lt;&gt;"Seçildi","",IF(OR($G384="",$I384="",$M384=""),"",IF(SUMPRODUCT(($A$7:$A$456="Seçildi")*($G$7:$G$456=$G384)*($I$7:$I$456=$I384)*(ROW($A$7:$A$456)&lt;&gt;384)*($M$7:$M$456&lt;=$N384)*($N$7:$N$456&gt;=$M384))&gt;0,"⚠ Çakışma","OK")))</f>
        <v/>
      </c>
      <c r="Q384" s="37" t="str">
        <f aca="false">IF($A384&lt;&gt;"Seçildi","",IF(OR($L384="",$I384="",$M384=""),"",IF(SUMPRODUCT(($A$7:$A$456="Seçildi")*($L$7:$L$456=$L384)*($I$7:$I$456=$I384)*(ROW($A$7:$A$456)&lt;&gt;384)*($M$7:$M$456&lt;=$N384)*($N$7:$N$456&gt;=$M384))&gt;0,"⚠ Çakışma","OK")))</f>
        <v/>
      </c>
      <c r="R384" s="37" t="str">
        <f aca="false">IF($A384&lt;&gt;"Seçildi","",IF(OR($D384="",$I384="",$M384=""),"",IF(SUMPRODUCT(($A$7:$A$456="Seçildi")*($D$7:$D$456=$D384)*($I$7:$I$456=$I384)*(ROW($A$7:$A$456)&lt;&gt;384)*($M$7:$M$456&lt;=$N384)*($N$7:$N$456&gt;=$M384))&gt;0,"⚠ Çakışma","OK")))</f>
        <v/>
      </c>
      <c r="S384" s="37"/>
      <c r="T384" s="37" t="str">
        <f aca="false">IF(OR($A384&lt;&gt;"Seçildi",AND($I384="",$J384="")),"",IF(OR($O384&lt;&gt;"",$P384="⚠ Çakışma",$Q384="⚠ Çakışma",$R384="⚠ Çakışma"),"⚠ Kontrol Et","✓ Uygun"))</f>
        <v/>
      </c>
    </row>
    <row r="385" customFormat="false" ht="13.5" hidden="false" customHeight="true" outlineLevel="0" collapsed="false">
      <c r="A385" s="33" t="n">
        <f aca="false">'1-Ders Havuzu'!K129</f>
        <v>0</v>
      </c>
      <c r="B385" s="33" t="str">
        <f aca="false">IF($A385="Seçildi",IF('1-Ders Havuzu'!C129="","",'1-Ders Havuzu'!C129),"")</f>
        <v/>
      </c>
      <c r="C385" s="34" t="str">
        <f aca="false">IF($A385="Seçildi",IF('1-Ders Havuzu'!D129="","",'1-Ders Havuzu'!D129),"")</f>
        <v/>
      </c>
      <c r="D385" s="33" t="str">
        <f aca="false">IF($A385="Seçildi",IF('1-Ders Havuzu'!B129="","",'1-Ders Havuzu'!B129),"")</f>
        <v/>
      </c>
      <c r="E385" s="33" t="str">
        <f aca="false">IF($A385="Seçildi",IF('1-Ders Havuzu'!A129="","",'1-Ders Havuzu'!A129),"")</f>
        <v/>
      </c>
      <c r="F385" s="33" t="str">
        <f aca="false">IF($A385="Seçildi",IF('1-Ders Havuzu'!H129="","",'1-Ders Havuzu'!H129),"")</f>
        <v/>
      </c>
      <c r="G385" s="33" t="str">
        <f aca="false">IF($A385="Seçildi",IF('2-Ders-Öğr.Elemanı Eşleştirme'!H129="","",'2-Ders-Öğr.Elemanı Eşleştirme'!H129),"")</f>
        <v/>
      </c>
      <c r="H385" s="35" t="n">
        <v>1</v>
      </c>
      <c r="I385" s="36"/>
      <c r="J385" s="36"/>
      <c r="K385" s="36"/>
      <c r="L385" s="36"/>
      <c r="M385" s="33" t="str">
        <f aca="false">IF($J385="","",MATCH($J385,{"08.00";"09.00";"10.00";"11.00";"12.00";"13.00";"14.00";"15.00";"16.00";"17.00"},0))</f>
        <v/>
      </c>
      <c r="N385" s="33" t="str">
        <f aca="false">IF(OR($M385="",$K385=""),"",$M385+$K385-1)</f>
        <v/>
      </c>
      <c r="O385" s="33" t="str">
        <f aca="false">IF($A385&lt;&gt;"Seçildi","",IF(OR($M385="",$N385=""),"",IF($N385&gt;10,"⚠ Saat Taşıyor","")))</f>
        <v/>
      </c>
      <c r="P385" s="33" t="str">
        <f aca="false">IF($A385&lt;&gt;"Seçildi","",IF(OR($G385="",$I385="",$M385=""),"",IF(SUMPRODUCT(($A$7:$A$456="Seçildi")*($G$7:$G$456=$G385)*($I$7:$I$456=$I385)*(ROW($A$7:$A$456)&lt;&gt;385)*($M$7:$M$456&lt;=$N385)*($N$7:$N$456&gt;=$M385))&gt;0,"⚠ Çakışma","OK")))</f>
        <v/>
      </c>
      <c r="Q385" s="33" t="str">
        <f aca="false">IF($A385&lt;&gt;"Seçildi","",IF(OR($L385="",$I385="",$M385=""),"",IF(SUMPRODUCT(($A$7:$A$456="Seçildi")*($L$7:$L$456=$L385)*($I$7:$I$456=$I385)*(ROW($A$7:$A$456)&lt;&gt;385)*($M$7:$M$456&lt;=$N385)*($N$7:$N$456&gt;=$M385))&gt;0,"⚠ Çakışma","OK")))</f>
        <v/>
      </c>
      <c r="R385" s="33" t="str">
        <f aca="false">IF($A385&lt;&gt;"Seçildi","",IF(OR($D385="",$I385="",$M385=""),"",IF(SUMPRODUCT(($A$7:$A$456="Seçildi")*($D$7:$D$456=$D385)*($I$7:$I$456=$I385)*(ROW($A$7:$A$456)&lt;&gt;385)*($M$7:$M$456&lt;=$N385)*($N$7:$N$456&gt;=$M385))&gt;0,"⚠ Çakışma","OK")))</f>
        <v/>
      </c>
      <c r="S385" s="33" t="str">
        <f aca="false">IF($A385&lt;&gt;"Seçildi","",IF(SUM($K385,$K386,$K387)&lt;&gt;$F385,"⚠ Dağılım: "&amp;SUM($K385:$K387)&amp;"/"&amp;$F385&amp;" saat","✓ Tamam"))</f>
        <v/>
      </c>
      <c r="T385" s="33" t="str">
        <f aca="false">IF($A385&lt;&gt;"Seçildi","",IF(OR($O385&lt;&gt;"",$P385="⚠ Çakışma",$Q385="⚠ Çakışma",$R385="⚠ Çakışma",LEFT($S385&amp;" ",1)="⚠"),"⚠ Kontrol Et","✓ Uygun"))</f>
        <v/>
      </c>
    </row>
    <row r="386" customFormat="false" ht="13.5" hidden="false" customHeight="true" outlineLevel="0" collapsed="false">
      <c r="A386" s="33" t="n">
        <f aca="false">'1-Ders Havuzu'!K129</f>
        <v>0</v>
      </c>
      <c r="B386" s="33" t="str">
        <f aca="false">IF($A386="Seçildi",IF('1-Ders Havuzu'!C129="","",'1-Ders Havuzu'!C129),"")</f>
        <v/>
      </c>
      <c r="C386" s="34" t="str">
        <f aca="false">IF($A386="Seçildi",IF('1-Ders Havuzu'!D129="","",'1-Ders Havuzu'!D129),"")</f>
        <v/>
      </c>
      <c r="D386" s="33" t="str">
        <f aca="false">IF($A386="Seçildi",IF('1-Ders Havuzu'!B129="","",'1-Ders Havuzu'!B129),"")</f>
        <v/>
      </c>
      <c r="E386" s="33" t="str">
        <f aca="false">IF($A386="Seçildi",IF('1-Ders Havuzu'!A129="","",'1-Ders Havuzu'!A129),"")</f>
        <v/>
      </c>
      <c r="F386" s="33" t="str">
        <f aca="false">IF($A386="Seçildi",IF('1-Ders Havuzu'!H129="","",'1-Ders Havuzu'!H129),"")</f>
        <v/>
      </c>
      <c r="G386" s="33" t="str">
        <f aca="false">IF($A386="Seçildi",IF('2-Ders-Öğr.Elemanı Eşleştirme'!H129="","",'2-Ders-Öğr.Elemanı Eşleştirme'!H129),"")</f>
        <v/>
      </c>
      <c r="H386" s="35" t="n">
        <v>2</v>
      </c>
      <c r="I386" s="36"/>
      <c r="J386" s="36"/>
      <c r="K386" s="36"/>
      <c r="L386" s="36"/>
      <c r="M386" s="33" t="str">
        <f aca="false">IF($J386="","",MATCH($J386,{"08.00";"09.00";"10.00";"11.00";"12.00";"13.00";"14.00";"15.00";"16.00";"17.00"},0))</f>
        <v/>
      </c>
      <c r="N386" s="33" t="str">
        <f aca="false">IF(OR($M386="",$K386=""),"",$M386+$K386-1)</f>
        <v/>
      </c>
      <c r="O386" s="33" t="str">
        <f aca="false">IF($A386&lt;&gt;"Seçildi","",IF(OR($M386="",$N386=""),"",IF($N386&gt;10,"⚠ Saat Taşıyor","")))</f>
        <v/>
      </c>
      <c r="P386" s="33" t="str">
        <f aca="false">IF($A386&lt;&gt;"Seçildi","",IF(OR($G386="",$I386="",$M386=""),"",IF(SUMPRODUCT(($A$7:$A$456="Seçildi")*($G$7:$G$456=$G386)*($I$7:$I$456=$I386)*(ROW($A$7:$A$456)&lt;&gt;386)*($M$7:$M$456&lt;=$N386)*($N$7:$N$456&gt;=$M386))&gt;0,"⚠ Çakışma","OK")))</f>
        <v/>
      </c>
      <c r="Q386" s="33" t="str">
        <f aca="false">IF($A386&lt;&gt;"Seçildi","",IF(OR($L386="",$I386="",$M386=""),"",IF(SUMPRODUCT(($A$7:$A$456="Seçildi")*($L$7:$L$456=$L386)*($I$7:$I$456=$I386)*(ROW($A$7:$A$456)&lt;&gt;386)*($M$7:$M$456&lt;=$N386)*($N$7:$N$456&gt;=$M386))&gt;0,"⚠ Çakışma","OK")))</f>
        <v/>
      </c>
      <c r="R386" s="33" t="str">
        <f aca="false">IF($A386&lt;&gt;"Seçildi","",IF(OR($D386="",$I386="",$M386=""),"",IF(SUMPRODUCT(($A$7:$A$456="Seçildi")*($D$7:$D$456=$D386)*($I$7:$I$456=$I386)*(ROW($A$7:$A$456)&lt;&gt;386)*($M$7:$M$456&lt;=$N386)*($N$7:$N$456&gt;=$M386))&gt;0,"⚠ Çakışma","OK")))</f>
        <v/>
      </c>
      <c r="S386" s="33"/>
      <c r="T386" s="33" t="str">
        <f aca="false">IF(OR($A386&lt;&gt;"Seçildi",AND($I386="",$J386="")),"",IF(OR($O386&lt;&gt;"",$P386="⚠ Çakışma",$Q386="⚠ Çakışma",$R386="⚠ Çakışma"),"⚠ Kontrol Et","✓ Uygun"))</f>
        <v/>
      </c>
    </row>
    <row r="387" customFormat="false" ht="13.5" hidden="false" customHeight="true" outlineLevel="0" collapsed="false">
      <c r="A387" s="33" t="n">
        <f aca="false">'1-Ders Havuzu'!K129</f>
        <v>0</v>
      </c>
      <c r="B387" s="33" t="str">
        <f aca="false">IF($A387="Seçildi",IF('1-Ders Havuzu'!C129="","",'1-Ders Havuzu'!C129),"")</f>
        <v/>
      </c>
      <c r="C387" s="34" t="str">
        <f aca="false">IF($A387="Seçildi",IF('1-Ders Havuzu'!D129="","",'1-Ders Havuzu'!D129),"")</f>
        <v/>
      </c>
      <c r="D387" s="33" t="str">
        <f aca="false">IF($A387="Seçildi",IF('1-Ders Havuzu'!B129="","",'1-Ders Havuzu'!B129),"")</f>
        <v/>
      </c>
      <c r="E387" s="33" t="str">
        <f aca="false">IF($A387="Seçildi",IF('1-Ders Havuzu'!A129="","",'1-Ders Havuzu'!A129),"")</f>
        <v/>
      </c>
      <c r="F387" s="33" t="str">
        <f aca="false">IF($A387="Seçildi",IF('1-Ders Havuzu'!H129="","",'1-Ders Havuzu'!H129),"")</f>
        <v/>
      </c>
      <c r="G387" s="33" t="str">
        <f aca="false">IF($A387="Seçildi",IF('2-Ders-Öğr.Elemanı Eşleştirme'!H129="","",'2-Ders-Öğr.Elemanı Eşleştirme'!H129),"")</f>
        <v/>
      </c>
      <c r="H387" s="35" t="n">
        <v>3</v>
      </c>
      <c r="I387" s="36"/>
      <c r="J387" s="36"/>
      <c r="K387" s="36"/>
      <c r="L387" s="36"/>
      <c r="M387" s="33" t="str">
        <f aca="false">IF($J387="","",MATCH($J387,{"08.00";"09.00";"10.00";"11.00";"12.00";"13.00";"14.00";"15.00";"16.00";"17.00"},0))</f>
        <v/>
      </c>
      <c r="N387" s="33" t="str">
        <f aca="false">IF(OR($M387="",$K387=""),"",$M387+$K387-1)</f>
        <v/>
      </c>
      <c r="O387" s="33" t="str">
        <f aca="false">IF($A387&lt;&gt;"Seçildi","",IF(OR($M387="",$N387=""),"",IF($N387&gt;10,"⚠ Saat Taşıyor","")))</f>
        <v/>
      </c>
      <c r="P387" s="33" t="str">
        <f aca="false">IF($A387&lt;&gt;"Seçildi","",IF(OR($G387="",$I387="",$M387=""),"",IF(SUMPRODUCT(($A$7:$A$456="Seçildi")*($G$7:$G$456=$G387)*($I$7:$I$456=$I387)*(ROW($A$7:$A$456)&lt;&gt;387)*($M$7:$M$456&lt;=$N387)*($N$7:$N$456&gt;=$M387))&gt;0,"⚠ Çakışma","OK")))</f>
        <v/>
      </c>
      <c r="Q387" s="33" t="str">
        <f aca="false">IF($A387&lt;&gt;"Seçildi","",IF(OR($L387="",$I387="",$M387=""),"",IF(SUMPRODUCT(($A$7:$A$456="Seçildi")*($L$7:$L$456=$L387)*($I$7:$I$456=$I387)*(ROW($A$7:$A$456)&lt;&gt;387)*($M$7:$M$456&lt;=$N387)*($N$7:$N$456&gt;=$M387))&gt;0,"⚠ Çakışma","OK")))</f>
        <v/>
      </c>
      <c r="R387" s="33" t="str">
        <f aca="false">IF($A387&lt;&gt;"Seçildi","",IF(OR($D387="",$I387="",$M387=""),"",IF(SUMPRODUCT(($A$7:$A$456="Seçildi")*($D$7:$D$456=$D387)*($I$7:$I$456=$I387)*(ROW($A$7:$A$456)&lt;&gt;387)*($M$7:$M$456&lt;=$N387)*($N$7:$N$456&gt;=$M387))&gt;0,"⚠ Çakışma","OK")))</f>
        <v/>
      </c>
      <c r="S387" s="33"/>
      <c r="T387" s="33" t="str">
        <f aca="false">IF(OR($A387&lt;&gt;"Seçildi",AND($I387="",$J387="")),"",IF(OR($O387&lt;&gt;"",$P387="⚠ Çakışma",$Q387="⚠ Çakışma",$R387="⚠ Çakışma"),"⚠ Kontrol Et","✓ Uygun"))</f>
        <v/>
      </c>
    </row>
    <row r="388" customFormat="false" ht="13.5" hidden="false" customHeight="true" outlineLevel="0" collapsed="false">
      <c r="A388" s="37" t="n">
        <f aca="false">'1-Ders Havuzu'!K130</f>
        <v>0</v>
      </c>
      <c r="B388" s="37" t="str">
        <f aca="false">IF($A388="Seçildi",IF('1-Ders Havuzu'!C130="","",'1-Ders Havuzu'!C130),"")</f>
        <v/>
      </c>
      <c r="C388" s="38" t="str">
        <f aca="false">IF($A388="Seçildi",IF('1-Ders Havuzu'!D130="","",'1-Ders Havuzu'!D130),"")</f>
        <v/>
      </c>
      <c r="D388" s="37" t="str">
        <f aca="false">IF($A388="Seçildi",IF('1-Ders Havuzu'!B130="","",'1-Ders Havuzu'!B130),"")</f>
        <v/>
      </c>
      <c r="E388" s="37" t="str">
        <f aca="false">IF($A388="Seçildi",IF('1-Ders Havuzu'!A130="","",'1-Ders Havuzu'!A130),"")</f>
        <v/>
      </c>
      <c r="F388" s="37" t="str">
        <f aca="false">IF($A388="Seçildi",IF('1-Ders Havuzu'!H130="","",'1-Ders Havuzu'!H130),"")</f>
        <v/>
      </c>
      <c r="G388" s="37" t="str">
        <f aca="false">IF($A388="Seçildi",IF('2-Ders-Öğr.Elemanı Eşleştirme'!H130="","",'2-Ders-Öğr.Elemanı Eşleştirme'!H130),"")</f>
        <v/>
      </c>
      <c r="H388" s="39" t="n">
        <v>1</v>
      </c>
      <c r="I388" s="36"/>
      <c r="J388" s="36"/>
      <c r="K388" s="36"/>
      <c r="L388" s="36"/>
      <c r="M388" s="37" t="str">
        <f aca="false">IF($J388="","",MATCH($J388,{"08.00";"09.00";"10.00";"11.00";"12.00";"13.00";"14.00";"15.00";"16.00";"17.00"},0))</f>
        <v/>
      </c>
      <c r="N388" s="37" t="str">
        <f aca="false">IF(OR($M388="",$K388=""),"",$M388+$K388-1)</f>
        <v/>
      </c>
      <c r="O388" s="37" t="str">
        <f aca="false">IF($A388&lt;&gt;"Seçildi","",IF(OR($M388="",$N388=""),"",IF($N388&gt;10,"⚠ Saat Taşıyor","")))</f>
        <v/>
      </c>
      <c r="P388" s="37" t="str">
        <f aca="false">IF($A388&lt;&gt;"Seçildi","",IF(OR($G388="",$I388="",$M388=""),"",IF(SUMPRODUCT(($A$7:$A$456="Seçildi")*($G$7:$G$456=$G388)*($I$7:$I$456=$I388)*(ROW($A$7:$A$456)&lt;&gt;388)*($M$7:$M$456&lt;=$N388)*($N$7:$N$456&gt;=$M388))&gt;0,"⚠ Çakışma","OK")))</f>
        <v/>
      </c>
      <c r="Q388" s="37" t="str">
        <f aca="false">IF($A388&lt;&gt;"Seçildi","",IF(OR($L388="",$I388="",$M388=""),"",IF(SUMPRODUCT(($A$7:$A$456="Seçildi")*($L$7:$L$456=$L388)*($I$7:$I$456=$I388)*(ROW($A$7:$A$456)&lt;&gt;388)*($M$7:$M$456&lt;=$N388)*($N$7:$N$456&gt;=$M388))&gt;0,"⚠ Çakışma","OK")))</f>
        <v/>
      </c>
      <c r="R388" s="37" t="str">
        <f aca="false">IF($A388&lt;&gt;"Seçildi","",IF(OR($D388="",$I388="",$M388=""),"",IF(SUMPRODUCT(($A$7:$A$456="Seçildi")*($D$7:$D$456=$D388)*($I$7:$I$456=$I388)*(ROW($A$7:$A$456)&lt;&gt;388)*($M$7:$M$456&lt;=$N388)*($N$7:$N$456&gt;=$M388))&gt;0,"⚠ Çakışma","OK")))</f>
        <v/>
      </c>
      <c r="S388" s="37" t="str">
        <f aca="false">IF($A388&lt;&gt;"Seçildi","",IF(SUM($K388,$K389,$K390)&lt;&gt;$F388,"⚠ Dağılım: "&amp;SUM($K388:$K390)&amp;"/"&amp;$F388&amp;" saat","✓ Tamam"))</f>
        <v/>
      </c>
      <c r="T388" s="37" t="str">
        <f aca="false">IF($A388&lt;&gt;"Seçildi","",IF(OR($O388&lt;&gt;"",$P388="⚠ Çakışma",$Q388="⚠ Çakışma",$R388="⚠ Çakışma",LEFT($S388&amp;" ",1)="⚠"),"⚠ Kontrol Et","✓ Uygun"))</f>
        <v/>
      </c>
    </row>
    <row r="389" customFormat="false" ht="13.5" hidden="false" customHeight="true" outlineLevel="0" collapsed="false">
      <c r="A389" s="37" t="n">
        <f aca="false">'1-Ders Havuzu'!K130</f>
        <v>0</v>
      </c>
      <c r="B389" s="37" t="str">
        <f aca="false">IF($A389="Seçildi",IF('1-Ders Havuzu'!C130="","",'1-Ders Havuzu'!C130),"")</f>
        <v/>
      </c>
      <c r="C389" s="38" t="str">
        <f aca="false">IF($A389="Seçildi",IF('1-Ders Havuzu'!D130="","",'1-Ders Havuzu'!D130),"")</f>
        <v/>
      </c>
      <c r="D389" s="37" t="str">
        <f aca="false">IF($A389="Seçildi",IF('1-Ders Havuzu'!B130="","",'1-Ders Havuzu'!B130),"")</f>
        <v/>
      </c>
      <c r="E389" s="37" t="str">
        <f aca="false">IF($A389="Seçildi",IF('1-Ders Havuzu'!A130="","",'1-Ders Havuzu'!A130),"")</f>
        <v/>
      </c>
      <c r="F389" s="37" t="str">
        <f aca="false">IF($A389="Seçildi",IF('1-Ders Havuzu'!H130="","",'1-Ders Havuzu'!H130),"")</f>
        <v/>
      </c>
      <c r="G389" s="37" t="str">
        <f aca="false">IF($A389="Seçildi",IF('2-Ders-Öğr.Elemanı Eşleştirme'!H130="","",'2-Ders-Öğr.Elemanı Eşleştirme'!H130),"")</f>
        <v/>
      </c>
      <c r="H389" s="39" t="n">
        <v>2</v>
      </c>
      <c r="I389" s="36"/>
      <c r="J389" s="36"/>
      <c r="K389" s="36"/>
      <c r="L389" s="36"/>
      <c r="M389" s="37" t="str">
        <f aca="false">IF($J389="","",MATCH($J389,{"08.00";"09.00";"10.00";"11.00";"12.00";"13.00";"14.00";"15.00";"16.00";"17.00"},0))</f>
        <v/>
      </c>
      <c r="N389" s="37" t="str">
        <f aca="false">IF(OR($M389="",$K389=""),"",$M389+$K389-1)</f>
        <v/>
      </c>
      <c r="O389" s="37" t="str">
        <f aca="false">IF($A389&lt;&gt;"Seçildi","",IF(OR($M389="",$N389=""),"",IF($N389&gt;10,"⚠ Saat Taşıyor","")))</f>
        <v/>
      </c>
      <c r="P389" s="37" t="str">
        <f aca="false">IF($A389&lt;&gt;"Seçildi","",IF(OR($G389="",$I389="",$M389=""),"",IF(SUMPRODUCT(($A$7:$A$456="Seçildi")*($G$7:$G$456=$G389)*($I$7:$I$456=$I389)*(ROW($A$7:$A$456)&lt;&gt;389)*($M$7:$M$456&lt;=$N389)*($N$7:$N$456&gt;=$M389))&gt;0,"⚠ Çakışma","OK")))</f>
        <v/>
      </c>
      <c r="Q389" s="37" t="str">
        <f aca="false">IF($A389&lt;&gt;"Seçildi","",IF(OR($L389="",$I389="",$M389=""),"",IF(SUMPRODUCT(($A$7:$A$456="Seçildi")*($L$7:$L$456=$L389)*($I$7:$I$456=$I389)*(ROW($A$7:$A$456)&lt;&gt;389)*($M$7:$M$456&lt;=$N389)*($N$7:$N$456&gt;=$M389))&gt;0,"⚠ Çakışma","OK")))</f>
        <v/>
      </c>
      <c r="R389" s="37" t="str">
        <f aca="false">IF($A389&lt;&gt;"Seçildi","",IF(OR($D389="",$I389="",$M389=""),"",IF(SUMPRODUCT(($A$7:$A$456="Seçildi")*($D$7:$D$456=$D389)*($I$7:$I$456=$I389)*(ROW($A$7:$A$456)&lt;&gt;389)*($M$7:$M$456&lt;=$N389)*($N$7:$N$456&gt;=$M389))&gt;0,"⚠ Çakışma","OK")))</f>
        <v/>
      </c>
      <c r="S389" s="37"/>
      <c r="T389" s="37" t="str">
        <f aca="false">IF(OR($A389&lt;&gt;"Seçildi",AND($I389="",$J389="")),"",IF(OR($O389&lt;&gt;"",$P389="⚠ Çakışma",$Q389="⚠ Çakışma",$R389="⚠ Çakışma"),"⚠ Kontrol Et","✓ Uygun"))</f>
        <v/>
      </c>
    </row>
    <row r="390" customFormat="false" ht="13.5" hidden="false" customHeight="true" outlineLevel="0" collapsed="false">
      <c r="A390" s="37" t="n">
        <f aca="false">'1-Ders Havuzu'!K130</f>
        <v>0</v>
      </c>
      <c r="B390" s="37" t="str">
        <f aca="false">IF($A390="Seçildi",IF('1-Ders Havuzu'!C130="","",'1-Ders Havuzu'!C130),"")</f>
        <v/>
      </c>
      <c r="C390" s="38" t="str">
        <f aca="false">IF($A390="Seçildi",IF('1-Ders Havuzu'!D130="","",'1-Ders Havuzu'!D130),"")</f>
        <v/>
      </c>
      <c r="D390" s="37" t="str">
        <f aca="false">IF($A390="Seçildi",IF('1-Ders Havuzu'!B130="","",'1-Ders Havuzu'!B130),"")</f>
        <v/>
      </c>
      <c r="E390" s="37" t="str">
        <f aca="false">IF($A390="Seçildi",IF('1-Ders Havuzu'!A130="","",'1-Ders Havuzu'!A130),"")</f>
        <v/>
      </c>
      <c r="F390" s="37" t="str">
        <f aca="false">IF($A390="Seçildi",IF('1-Ders Havuzu'!H130="","",'1-Ders Havuzu'!H130),"")</f>
        <v/>
      </c>
      <c r="G390" s="37" t="str">
        <f aca="false">IF($A390="Seçildi",IF('2-Ders-Öğr.Elemanı Eşleştirme'!H130="","",'2-Ders-Öğr.Elemanı Eşleştirme'!H130),"")</f>
        <v/>
      </c>
      <c r="H390" s="39" t="n">
        <v>3</v>
      </c>
      <c r="I390" s="36"/>
      <c r="J390" s="36"/>
      <c r="K390" s="36"/>
      <c r="L390" s="36"/>
      <c r="M390" s="37" t="str">
        <f aca="false">IF($J390="","",MATCH($J390,{"08.00";"09.00";"10.00";"11.00";"12.00";"13.00";"14.00";"15.00";"16.00";"17.00"},0))</f>
        <v/>
      </c>
      <c r="N390" s="37" t="str">
        <f aca="false">IF(OR($M390="",$K390=""),"",$M390+$K390-1)</f>
        <v/>
      </c>
      <c r="O390" s="37" t="str">
        <f aca="false">IF($A390&lt;&gt;"Seçildi","",IF(OR($M390="",$N390=""),"",IF($N390&gt;10,"⚠ Saat Taşıyor","")))</f>
        <v/>
      </c>
      <c r="P390" s="37" t="str">
        <f aca="false">IF($A390&lt;&gt;"Seçildi","",IF(OR($G390="",$I390="",$M390=""),"",IF(SUMPRODUCT(($A$7:$A$456="Seçildi")*($G$7:$G$456=$G390)*($I$7:$I$456=$I390)*(ROW($A$7:$A$456)&lt;&gt;390)*($M$7:$M$456&lt;=$N390)*($N$7:$N$456&gt;=$M390))&gt;0,"⚠ Çakışma","OK")))</f>
        <v/>
      </c>
      <c r="Q390" s="37" t="str">
        <f aca="false">IF($A390&lt;&gt;"Seçildi","",IF(OR($L390="",$I390="",$M390=""),"",IF(SUMPRODUCT(($A$7:$A$456="Seçildi")*($L$7:$L$456=$L390)*($I$7:$I$456=$I390)*(ROW($A$7:$A$456)&lt;&gt;390)*($M$7:$M$456&lt;=$N390)*($N$7:$N$456&gt;=$M390))&gt;0,"⚠ Çakışma","OK")))</f>
        <v/>
      </c>
      <c r="R390" s="37" t="str">
        <f aca="false">IF($A390&lt;&gt;"Seçildi","",IF(OR($D390="",$I390="",$M390=""),"",IF(SUMPRODUCT(($A$7:$A$456="Seçildi")*($D$7:$D$456=$D390)*($I$7:$I$456=$I390)*(ROW($A$7:$A$456)&lt;&gt;390)*($M$7:$M$456&lt;=$N390)*($N$7:$N$456&gt;=$M390))&gt;0,"⚠ Çakışma","OK")))</f>
        <v/>
      </c>
      <c r="S390" s="37"/>
      <c r="T390" s="37" t="str">
        <f aca="false">IF(OR($A390&lt;&gt;"Seçildi",AND($I390="",$J390="")),"",IF(OR($O390&lt;&gt;"",$P390="⚠ Çakışma",$Q390="⚠ Çakışma",$R390="⚠ Çakışma"),"⚠ Kontrol Et","✓ Uygun"))</f>
        <v/>
      </c>
    </row>
    <row r="391" customFormat="false" ht="13.5" hidden="false" customHeight="true" outlineLevel="0" collapsed="false">
      <c r="A391" s="33" t="n">
        <f aca="false">'1-Ders Havuzu'!K131</f>
        <v>0</v>
      </c>
      <c r="B391" s="33" t="str">
        <f aca="false">IF($A391="Seçildi",IF('1-Ders Havuzu'!C131="","",'1-Ders Havuzu'!C131),"")</f>
        <v/>
      </c>
      <c r="C391" s="34" t="str">
        <f aca="false">IF($A391="Seçildi",IF('1-Ders Havuzu'!D131="","",'1-Ders Havuzu'!D131),"")</f>
        <v/>
      </c>
      <c r="D391" s="33" t="str">
        <f aca="false">IF($A391="Seçildi",IF('1-Ders Havuzu'!B131="","",'1-Ders Havuzu'!B131),"")</f>
        <v/>
      </c>
      <c r="E391" s="33" t="str">
        <f aca="false">IF($A391="Seçildi",IF('1-Ders Havuzu'!A131="","",'1-Ders Havuzu'!A131),"")</f>
        <v/>
      </c>
      <c r="F391" s="33" t="str">
        <f aca="false">IF($A391="Seçildi",IF('1-Ders Havuzu'!H131="","",'1-Ders Havuzu'!H131),"")</f>
        <v/>
      </c>
      <c r="G391" s="33" t="str">
        <f aca="false">IF($A391="Seçildi",IF('2-Ders-Öğr.Elemanı Eşleştirme'!H131="","",'2-Ders-Öğr.Elemanı Eşleştirme'!H131),"")</f>
        <v/>
      </c>
      <c r="H391" s="35" t="n">
        <v>1</v>
      </c>
      <c r="I391" s="36"/>
      <c r="J391" s="36"/>
      <c r="K391" s="36"/>
      <c r="L391" s="36"/>
      <c r="M391" s="33" t="str">
        <f aca="false">IF($J391="","",MATCH($J391,{"08.00";"09.00";"10.00";"11.00";"12.00";"13.00";"14.00";"15.00";"16.00";"17.00"},0))</f>
        <v/>
      </c>
      <c r="N391" s="33" t="str">
        <f aca="false">IF(OR($M391="",$K391=""),"",$M391+$K391-1)</f>
        <v/>
      </c>
      <c r="O391" s="33" t="str">
        <f aca="false">IF($A391&lt;&gt;"Seçildi","",IF(OR($M391="",$N391=""),"",IF($N391&gt;10,"⚠ Saat Taşıyor","")))</f>
        <v/>
      </c>
      <c r="P391" s="33" t="str">
        <f aca="false">IF($A391&lt;&gt;"Seçildi","",IF(OR($G391="",$I391="",$M391=""),"",IF(SUMPRODUCT(($A$7:$A$456="Seçildi")*($G$7:$G$456=$G391)*($I$7:$I$456=$I391)*(ROW($A$7:$A$456)&lt;&gt;391)*($M$7:$M$456&lt;=$N391)*($N$7:$N$456&gt;=$M391))&gt;0,"⚠ Çakışma","OK")))</f>
        <v/>
      </c>
      <c r="Q391" s="33" t="str">
        <f aca="false">IF($A391&lt;&gt;"Seçildi","",IF(OR($L391="",$I391="",$M391=""),"",IF(SUMPRODUCT(($A$7:$A$456="Seçildi")*($L$7:$L$456=$L391)*($I$7:$I$456=$I391)*(ROW($A$7:$A$456)&lt;&gt;391)*($M$7:$M$456&lt;=$N391)*($N$7:$N$456&gt;=$M391))&gt;0,"⚠ Çakışma","OK")))</f>
        <v/>
      </c>
      <c r="R391" s="33" t="str">
        <f aca="false">IF($A391&lt;&gt;"Seçildi","",IF(OR($D391="",$I391="",$M391=""),"",IF(SUMPRODUCT(($A$7:$A$456="Seçildi")*($D$7:$D$456=$D391)*($I$7:$I$456=$I391)*(ROW($A$7:$A$456)&lt;&gt;391)*($M$7:$M$456&lt;=$N391)*($N$7:$N$456&gt;=$M391))&gt;0,"⚠ Çakışma","OK")))</f>
        <v/>
      </c>
      <c r="S391" s="33" t="str">
        <f aca="false">IF($A391&lt;&gt;"Seçildi","",IF(SUM($K391,$K392,$K393)&lt;&gt;$F391,"⚠ Dağılım: "&amp;SUM($K391:$K393)&amp;"/"&amp;$F391&amp;" saat","✓ Tamam"))</f>
        <v/>
      </c>
      <c r="T391" s="33" t="str">
        <f aca="false">IF($A391&lt;&gt;"Seçildi","",IF(OR($O391&lt;&gt;"",$P391="⚠ Çakışma",$Q391="⚠ Çakışma",$R391="⚠ Çakışma",LEFT($S391&amp;" ",1)="⚠"),"⚠ Kontrol Et","✓ Uygun"))</f>
        <v/>
      </c>
    </row>
    <row r="392" customFormat="false" ht="13.5" hidden="false" customHeight="true" outlineLevel="0" collapsed="false">
      <c r="A392" s="33" t="n">
        <f aca="false">'1-Ders Havuzu'!K131</f>
        <v>0</v>
      </c>
      <c r="B392" s="33" t="str">
        <f aca="false">IF($A392="Seçildi",IF('1-Ders Havuzu'!C131="","",'1-Ders Havuzu'!C131),"")</f>
        <v/>
      </c>
      <c r="C392" s="34" t="str">
        <f aca="false">IF($A392="Seçildi",IF('1-Ders Havuzu'!D131="","",'1-Ders Havuzu'!D131),"")</f>
        <v/>
      </c>
      <c r="D392" s="33" t="str">
        <f aca="false">IF($A392="Seçildi",IF('1-Ders Havuzu'!B131="","",'1-Ders Havuzu'!B131),"")</f>
        <v/>
      </c>
      <c r="E392" s="33" t="str">
        <f aca="false">IF($A392="Seçildi",IF('1-Ders Havuzu'!A131="","",'1-Ders Havuzu'!A131),"")</f>
        <v/>
      </c>
      <c r="F392" s="33" t="str">
        <f aca="false">IF($A392="Seçildi",IF('1-Ders Havuzu'!H131="","",'1-Ders Havuzu'!H131),"")</f>
        <v/>
      </c>
      <c r="G392" s="33" t="str">
        <f aca="false">IF($A392="Seçildi",IF('2-Ders-Öğr.Elemanı Eşleştirme'!H131="","",'2-Ders-Öğr.Elemanı Eşleştirme'!H131),"")</f>
        <v/>
      </c>
      <c r="H392" s="35" t="n">
        <v>2</v>
      </c>
      <c r="I392" s="36"/>
      <c r="J392" s="36"/>
      <c r="K392" s="36"/>
      <c r="L392" s="36"/>
      <c r="M392" s="33" t="str">
        <f aca="false">IF($J392="","",MATCH($J392,{"08.00";"09.00";"10.00";"11.00";"12.00";"13.00";"14.00";"15.00";"16.00";"17.00"},0))</f>
        <v/>
      </c>
      <c r="N392" s="33" t="str">
        <f aca="false">IF(OR($M392="",$K392=""),"",$M392+$K392-1)</f>
        <v/>
      </c>
      <c r="O392" s="33" t="str">
        <f aca="false">IF($A392&lt;&gt;"Seçildi","",IF(OR($M392="",$N392=""),"",IF($N392&gt;10,"⚠ Saat Taşıyor","")))</f>
        <v/>
      </c>
      <c r="P392" s="33" t="str">
        <f aca="false">IF($A392&lt;&gt;"Seçildi","",IF(OR($G392="",$I392="",$M392=""),"",IF(SUMPRODUCT(($A$7:$A$456="Seçildi")*($G$7:$G$456=$G392)*($I$7:$I$456=$I392)*(ROW($A$7:$A$456)&lt;&gt;392)*($M$7:$M$456&lt;=$N392)*($N$7:$N$456&gt;=$M392))&gt;0,"⚠ Çakışma","OK")))</f>
        <v/>
      </c>
      <c r="Q392" s="33" t="str">
        <f aca="false">IF($A392&lt;&gt;"Seçildi","",IF(OR($L392="",$I392="",$M392=""),"",IF(SUMPRODUCT(($A$7:$A$456="Seçildi")*($L$7:$L$456=$L392)*($I$7:$I$456=$I392)*(ROW($A$7:$A$456)&lt;&gt;392)*($M$7:$M$456&lt;=$N392)*($N$7:$N$456&gt;=$M392))&gt;0,"⚠ Çakışma","OK")))</f>
        <v/>
      </c>
      <c r="R392" s="33" t="str">
        <f aca="false">IF($A392&lt;&gt;"Seçildi","",IF(OR($D392="",$I392="",$M392=""),"",IF(SUMPRODUCT(($A$7:$A$456="Seçildi")*($D$7:$D$456=$D392)*($I$7:$I$456=$I392)*(ROW($A$7:$A$456)&lt;&gt;392)*($M$7:$M$456&lt;=$N392)*($N$7:$N$456&gt;=$M392))&gt;0,"⚠ Çakışma","OK")))</f>
        <v/>
      </c>
      <c r="S392" s="33"/>
      <c r="T392" s="33" t="str">
        <f aca="false">IF(OR($A392&lt;&gt;"Seçildi",AND($I392="",$J392="")),"",IF(OR($O392&lt;&gt;"",$P392="⚠ Çakışma",$Q392="⚠ Çakışma",$R392="⚠ Çakışma"),"⚠ Kontrol Et","✓ Uygun"))</f>
        <v/>
      </c>
    </row>
    <row r="393" customFormat="false" ht="13.5" hidden="false" customHeight="true" outlineLevel="0" collapsed="false">
      <c r="A393" s="33" t="n">
        <f aca="false">'1-Ders Havuzu'!K131</f>
        <v>0</v>
      </c>
      <c r="B393" s="33" t="str">
        <f aca="false">IF($A393="Seçildi",IF('1-Ders Havuzu'!C131="","",'1-Ders Havuzu'!C131),"")</f>
        <v/>
      </c>
      <c r="C393" s="34" t="str">
        <f aca="false">IF($A393="Seçildi",IF('1-Ders Havuzu'!D131="","",'1-Ders Havuzu'!D131),"")</f>
        <v/>
      </c>
      <c r="D393" s="33" t="str">
        <f aca="false">IF($A393="Seçildi",IF('1-Ders Havuzu'!B131="","",'1-Ders Havuzu'!B131),"")</f>
        <v/>
      </c>
      <c r="E393" s="33" t="str">
        <f aca="false">IF($A393="Seçildi",IF('1-Ders Havuzu'!A131="","",'1-Ders Havuzu'!A131),"")</f>
        <v/>
      </c>
      <c r="F393" s="33" t="str">
        <f aca="false">IF($A393="Seçildi",IF('1-Ders Havuzu'!H131="","",'1-Ders Havuzu'!H131),"")</f>
        <v/>
      </c>
      <c r="G393" s="33" t="str">
        <f aca="false">IF($A393="Seçildi",IF('2-Ders-Öğr.Elemanı Eşleştirme'!H131="","",'2-Ders-Öğr.Elemanı Eşleştirme'!H131),"")</f>
        <v/>
      </c>
      <c r="H393" s="35" t="n">
        <v>3</v>
      </c>
      <c r="I393" s="36"/>
      <c r="J393" s="36"/>
      <c r="K393" s="36"/>
      <c r="L393" s="36"/>
      <c r="M393" s="33" t="str">
        <f aca="false">IF($J393="","",MATCH($J393,{"08.00";"09.00";"10.00";"11.00";"12.00";"13.00";"14.00";"15.00";"16.00";"17.00"},0))</f>
        <v/>
      </c>
      <c r="N393" s="33" t="str">
        <f aca="false">IF(OR($M393="",$K393=""),"",$M393+$K393-1)</f>
        <v/>
      </c>
      <c r="O393" s="33" t="str">
        <f aca="false">IF($A393&lt;&gt;"Seçildi","",IF(OR($M393="",$N393=""),"",IF($N393&gt;10,"⚠ Saat Taşıyor","")))</f>
        <v/>
      </c>
      <c r="P393" s="33" t="str">
        <f aca="false">IF($A393&lt;&gt;"Seçildi","",IF(OR($G393="",$I393="",$M393=""),"",IF(SUMPRODUCT(($A$7:$A$456="Seçildi")*($G$7:$G$456=$G393)*($I$7:$I$456=$I393)*(ROW($A$7:$A$456)&lt;&gt;393)*($M$7:$M$456&lt;=$N393)*($N$7:$N$456&gt;=$M393))&gt;0,"⚠ Çakışma","OK")))</f>
        <v/>
      </c>
      <c r="Q393" s="33" t="str">
        <f aca="false">IF($A393&lt;&gt;"Seçildi","",IF(OR($L393="",$I393="",$M393=""),"",IF(SUMPRODUCT(($A$7:$A$456="Seçildi")*($L$7:$L$456=$L393)*($I$7:$I$456=$I393)*(ROW($A$7:$A$456)&lt;&gt;393)*($M$7:$M$456&lt;=$N393)*($N$7:$N$456&gt;=$M393))&gt;0,"⚠ Çakışma","OK")))</f>
        <v/>
      </c>
      <c r="R393" s="33" t="str">
        <f aca="false">IF($A393&lt;&gt;"Seçildi","",IF(OR($D393="",$I393="",$M393=""),"",IF(SUMPRODUCT(($A$7:$A$456="Seçildi")*($D$7:$D$456=$D393)*($I$7:$I$456=$I393)*(ROW($A$7:$A$456)&lt;&gt;393)*($M$7:$M$456&lt;=$N393)*($N$7:$N$456&gt;=$M393))&gt;0,"⚠ Çakışma","OK")))</f>
        <v/>
      </c>
      <c r="S393" s="33"/>
      <c r="T393" s="33" t="str">
        <f aca="false">IF(OR($A393&lt;&gt;"Seçildi",AND($I393="",$J393="")),"",IF(OR($O393&lt;&gt;"",$P393="⚠ Çakışma",$Q393="⚠ Çakışma",$R393="⚠ Çakışma"),"⚠ Kontrol Et","✓ Uygun"))</f>
        <v/>
      </c>
    </row>
    <row r="394" customFormat="false" ht="13.5" hidden="false" customHeight="true" outlineLevel="0" collapsed="false">
      <c r="A394" s="37" t="n">
        <f aca="false">'1-Ders Havuzu'!K132</f>
        <v>0</v>
      </c>
      <c r="B394" s="37" t="str">
        <f aca="false">IF($A394="Seçildi",IF('1-Ders Havuzu'!C132="","",'1-Ders Havuzu'!C132),"")</f>
        <v/>
      </c>
      <c r="C394" s="38" t="str">
        <f aca="false">IF($A394="Seçildi",IF('1-Ders Havuzu'!D132="","",'1-Ders Havuzu'!D132),"")</f>
        <v/>
      </c>
      <c r="D394" s="37" t="str">
        <f aca="false">IF($A394="Seçildi",IF('1-Ders Havuzu'!B132="","",'1-Ders Havuzu'!B132),"")</f>
        <v/>
      </c>
      <c r="E394" s="37" t="str">
        <f aca="false">IF($A394="Seçildi",IF('1-Ders Havuzu'!A132="","",'1-Ders Havuzu'!A132),"")</f>
        <v/>
      </c>
      <c r="F394" s="37" t="str">
        <f aca="false">IF($A394="Seçildi",IF('1-Ders Havuzu'!H132="","",'1-Ders Havuzu'!H132),"")</f>
        <v/>
      </c>
      <c r="G394" s="37" t="str">
        <f aca="false">IF($A394="Seçildi",IF('2-Ders-Öğr.Elemanı Eşleştirme'!H132="","",'2-Ders-Öğr.Elemanı Eşleştirme'!H132),"")</f>
        <v/>
      </c>
      <c r="H394" s="39" t="n">
        <v>1</v>
      </c>
      <c r="I394" s="36"/>
      <c r="J394" s="36"/>
      <c r="K394" s="36"/>
      <c r="L394" s="36"/>
      <c r="M394" s="37" t="str">
        <f aca="false">IF($J394="","",MATCH($J394,{"08.00";"09.00";"10.00";"11.00";"12.00";"13.00";"14.00";"15.00";"16.00";"17.00"},0))</f>
        <v/>
      </c>
      <c r="N394" s="37" t="str">
        <f aca="false">IF(OR($M394="",$K394=""),"",$M394+$K394-1)</f>
        <v/>
      </c>
      <c r="O394" s="37" t="str">
        <f aca="false">IF($A394&lt;&gt;"Seçildi","",IF(OR($M394="",$N394=""),"",IF($N394&gt;10,"⚠ Saat Taşıyor","")))</f>
        <v/>
      </c>
      <c r="P394" s="37" t="str">
        <f aca="false">IF($A394&lt;&gt;"Seçildi","",IF(OR($G394="",$I394="",$M394=""),"",IF(SUMPRODUCT(($A$7:$A$456="Seçildi")*($G$7:$G$456=$G394)*($I$7:$I$456=$I394)*(ROW($A$7:$A$456)&lt;&gt;394)*($M$7:$M$456&lt;=$N394)*($N$7:$N$456&gt;=$M394))&gt;0,"⚠ Çakışma","OK")))</f>
        <v/>
      </c>
      <c r="Q394" s="37" t="str">
        <f aca="false">IF($A394&lt;&gt;"Seçildi","",IF(OR($L394="",$I394="",$M394=""),"",IF(SUMPRODUCT(($A$7:$A$456="Seçildi")*($L$7:$L$456=$L394)*($I$7:$I$456=$I394)*(ROW($A$7:$A$456)&lt;&gt;394)*($M$7:$M$456&lt;=$N394)*($N$7:$N$456&gt;=$M394))&gt;0,"⚠ Çakışma","OK")))</f>
        <v/>
      </c>
      <c r="R394" s="37" t="str">
        <f aca="false">IF($A394&lt;&gt;"Seçildi","",IF(OR($D394="",$I394="",$M394=""),"",IF(SUMPRODUCT(($A$7:$A$456="Seçildi")*($D$7:$D$456=$D394)*($I$7:$I$456=$I394)*(ROW($A$7:$A$456)&lt;&gt;394)*($M$7:$M$456&lt;=$N394)*($N$7:$N$456&gt;=$M394))&gt;0,"⚠ Çakışma","OK")))</f>
        <v/>
      </c>
      <c r="S394" s="37" t="str">
        <f aca="false">IF($A394&lt;&gt;"Seçildi","",IF(SUM($K394,$K395,$K396)&lt;&gt;$F394,"⚠ Dağılım: "&amp;SUM($K394:$K396)&amp;"/"&amp;$F394&amp;" saat","✓ Tamam"))</f>
        <v/>
      </c>
      <c r="T394" s="37" t="str">
        <f aca="false">IF($A394&lt;&gt;"Seçildi","",IF(OR($O394&lt;&gt;"",$P394="⚠ Çakışma",$Q394="⚠ Çakışma",$R394="⚠ Çakışma",LEFT($S394&amp;" ",1)="⚠"),"⚠ Kontrol Et","✓ Uygun"))</f>
        <v/>
      </c>
    </row>
    <row r="395" customFormat="false" ht="13.5" hidden="false" customHeight="true" outlineLevel="0" collapsed="false">
      <c r="A395" s="37" t="n">
        <f aca="false">'1-Ders Havuzu'!K132</f>
        <v>0</v>
      </c>
      <c r="B395" s="37" t="str">
        <f aca="false">IF($A395="Seçildi",IF('1-Ders Havuzu'!C132="","",'1-Ders Havuzu'!C132),"")</f>
        <v/>
      </c>
      <c r="C395" s="38" t="str">
        <f aca="false">IF($A395="Seçildi",IF('1-Ders Havuzu'!D132="","",'1-Ders Havuzu'!D132),"")</f>
        <v/>
      </c>
      <c r="D395" s="37" t="str">
        <f aca="false">IF($A395="Seçildi",IF('1-Ders Havuzu'!B132="","",'1-Ders Havuzu'!B132),"")</f>
        <v/>
      </c>
      <c r="E395" s="37" t="str">
        <f aca="false">IF($A395="Seçildi",IF('1-Ders Havuzu'!A132="","",'1-Ders Havuzu'!A132),"")</f>
        <v/>
      </c>
      <c r="F395" s="37" t="str">
        <f aca="false">IF($A395="Seçildi",IF('1-Ders Havuzu'!H132="","",'1-Ders Havuzu'!H132),"")</f>
        <v/>
      </c>
      <c r="G395" s="37" t="str">
        <f aca="false">IF($A395="Seçildi",IF('2-Ders-Öğr.Elemanı Eşleştirme'!H132="","",'2-Ders-Öğr.Elemanı Eşleştirme'!H132),"")</f>
        <v/>
      </c>
      <c r="H395" s="39" t="n">
        <v>2</v>
      </c>
      <c r="I395" s="36"/>
      <c r="J395" s="36"/>
      <c r="K395" s="36"/>
      <c r="L395" s="36"/>
      <c r="M395" s="37" t="str">
        <f aca="false">IF($J395="","",MATCH($J395,{"08.00";"09.00";"10.00";"11.00";"12.00";"13.00";"14.00";"15.00";"16.00";"17.00"},0))</f>
        <v/>
      </c>
      <c r="N395" s="37" t="str">
        <f aca="false">IF(OR($M395="",$K395=""),"",$M395+$K395-1)</f>
        <v/>
      </c>
      <c r="O395" s="37" t="str">
        <f aca="false">IF($A395&lt;&gt;"Seçildi","",IF(OR($M395="",$N395=""),"",IF($N395&gt;10,"⚠ Saat Taşıyor","")))</f>
        <v/>
      </c>
      <c r="P395" s="37" t="str">
        <f aca="false">IF($A395&lt;&gt;"Seçildi","",IF(OR($G395="",$I395="",$M395=""),"",IF(SUMPRODUCT(($A$7:$A$456="Seçildi")*($G$7:$G$456=$G395)*($I$7:$I$456=$I395)*(ROW($A$7:$A$456)&lt;&gt;395)*($M$7:$M$456&lt;=$N395)*($N$7:$N$456&gt;=$M395))&gt;0,"⚠ Çakışma","OK")))</f>
        <v/>
      </c>
      <c r="Q395" s="37" t="str">
        <f aca="false">IF($A395&lt;&gt;"Seçildi","",IF(OR($L395="",$I395="",$M395=""),"",IF(SUMPRODUCT(($A$7:$A$456="Seçildi")*($L$7:$L$456=$L395)*($I$7:$I$456=$I395)*(ROW($A$7:$A$456)&lt;&gt;395)*($M$7:$M$456&lt;=$N395)*($N$7:$N$456&gt;=$M395))&gt;0,"⚠ Çakışma","OK")))</f>
        <v/>
      </c>
      <c r="R395" s="37" t="str">
        <f aca="false">IF($A395&lt;&gt;"Seçildi","",IF(OR($D395="",$I395="",$M395=""),"",IF(SUMPRODUCT(($A$7:$A$456="Seçildi")*($D$7:$D$456=$D395)*($I$7:$I$456=$I395)*(ROW($A$7:$A$456)&lt;&gt;395)*($M$7:$M$456&lt;=$N395)*($N$7:$N$456&gt;=$M395))&gt;0,"⚠ Çakışma","OK")))</f>
        <v/>
      </c>
      <c r="S395" s="37"/>
      <c r="T395" s="37" t="str">
        <f aca="false">IF(OR($A395&lt;&gt;"Seçildi",AND($I395="",$J395="")),"",IF(OR($O395&lt;&gt;"",$P395="⚠ Çakışma",$Q395="⚠ Çakışma",$R395="⚠ Çakışma"),"⚠ Kontrol Et","✓ Uygun"))</f>
        <v/>
      </c>
    </row>
    <row r="396" customFormat="false" ht="13.5" hidden="false" customHeight="true" outlineLevel="0" collapsed="false">
      <c r="A396" s="37" t="n">
        <f aca="false">'1-Ders Havuzu'!K132</f>
        <v>0</v>
      </c>
      <c r="B396" s="37" t="str">
        <f aca="false">IF($A396="Seçildi",IF('1-Ders Havuzu'!C132="","",'1-Ders Havuzu'!C132),"")</f>
        <v/>
      </c>
      <c r="C396" s="38" t="str">
        <f aca="false">IF($A396="Seçildi",IF('1-Ders Havuzu'!D132="","",'1-Ders Havuzu'!D132),"")</f>
        <v/>
      </c>
      <c r="D396" s="37" t="str">
        <f aca="false">IF($A396="Seçildi",IF('1-Ders Havuzu'!B132="","",'1-Ders Havuzu'!B132),"")</f>
        <v/>
      </c>
      <c r="E396" s="37" t="str">
        <f aca="false">IF($A396="Seçildi",IF('1-Ders Havuzu'!A132="","",'1-Ders Havuzu'!A132),"")</f>
        <v/>
      </c>
      <c r="F396" s="37" t="str">
        <f aca="false">IF($A396="Seçildi",IF('1-Ders Havuzu'!H132="","",'1-Ders Havuzu'!H132),"")</f>
        <v/>
      </c>
      <c r="G396" s="37" t="str">
        <f aca="false">IF($A396="Seçildi",IF('2-Ders-Öğr.Elemanı Eşleştirme'!H132="","",'2-Ders-Öğr.Elemanı Eşleştirme'!H132),"")</f>
        <v/>
      </c>
      <c r="H396" s="39" t="n">
        <v>3</v>
      </c>
      <c r="I396" s="36"/>
      <c r="J396" s="36"/>
      <c r="K396" s="36"/>
      <c r="L396" s="36"/>
      <c r="M396" s="37" t="str">
        <f aca="false">IF($J396="","",MATCH($J396,{"08.00";"09.00";"10.00";"11.00";"12.00";"13.00";"14.00";"15.00";"16.00";"17.00"},0))</f>
        <v/>
      </c>
      <c r="N396" s="37" t="str">
        <f aca="false">IF(OR($M396="",$K396=""),"",$M396+$K396-1)</f>
        <v/>
      </c>
      <c r="O396" s="37" t="str">
        <f aca="false">IF($A396&lt;&gt;"Seçildi","",IF(OR($M396="",$N396=""),"",IF($N396&gt;10,"⚠ Saat Taşıyor","")))</f>
        <v/>
      </c>
      <c r="P396" s="37" t="str">
        <f aca="false">IF($A396&lt;&gt;"Seçildi","",IF(OR($G396="",$I396="",$M396=""),"",IF(SUMPRODUCT(($A$7:$A$456="Seçildi")*($G$7:$G$456=$G396)*($I$7:$I$456=$I396)*(ROW($A$7:$A$456)&lt;&gt;396)*($M$7:$M$456&lt;=$N396)*($N$7:$N$456&gt;=$M396))&gt;0,"⚠ Çakışma","OK")))</f>
        <v/>
      </c>
      <c r="Q396" s="37" t="str">
        <f aca="false">IF($A396&lt;&gt;"Seçildi","",IF(OR($L396="",$I396="",$M396=""),"",IF(SUMPRODUCT(($A$7:$A$456="Seçildi")*($L$7:$L$456=$L396)*($I$7:$I$456=$I396)*(ROW($A$7:$A$456)&lt;&gt;396)*($M$7:$M$456&lt;=$N396)*($N$7:$N$456&gt;=$M396))&gt;0,"⚠ Çakışma","OK")))</f>
        <v/>
      </c>
      <c r="R396" s="37" t="str">
        <f aca="false">IF($A396&lt;&gt;"Seçildi","",IF(OR($D396="",$I396="",$M396=""),"",IF(SUMPRODUCT(($A$7:$A$456="Seçildi")*($D$7:$D$456=$D396)*($I$7:$I$456=$I396)*(ROW($A$7:$A$456)&lt;&gt;396)*($M$7:$M$456&lt;=$N396)*($N$7:$N$456&gt;=$M396))&gt;0,"⚠ Çakışma","OK")))</f>
        <v/>
      </c>
      <c r="S396" s="37"/>
      <c r="T396" s="37" t="str">
        <f aca="false">IF(OR($A396&lt;&gt;"Seçildi",AND($I396="",$J396="")),"",IF(OR($O396&lt;&gt;"",$P396="⚠ Çakışma",$Q396="⚠ Çakışma",$R396="⚠ Çakışma"),"⚠ Kontrol Et","✓ Uygun"))</f>
        <v/>
      </c>
    </row>
    <row r="397" customFormat="false" ht="13.5" hidden="false" customHeight="true" outlineLevel="0" collapsed="false">
      <c r="A397" s="33" t="n">
        <f aca="false">'1-Ders Havuzu'!K133</f>
        <v>0</v>
      </c>
      <c r="B397" s="33" t="str">
        <f aca="false">IF($A397="Seçildi",IF('1-Ders Havuzu'!C133="","",'1-Ders Havuzu'!C133),"")</f>
        <v/>
      </c>
      <c r="C397" s="34" t="str">
        <f aca="false">IF($A397="Seçildi",IF('1-Ders Havuzu'!D133="","",'1-Ders Havuzu'!D133),"")</f>
        <v/>
      </c>
      <c r="D397" s="33" t="str">
        <f aca="false">IF($A397="Seçildi",IF('1-Ders Havuzu'!B133="","",'1-Ders Havuzu'!B133),"")</f>
        <v/>
      </c>
      <c r="E397" s="33" t="str">
        <f aca="false">IF($A397="Seçildi",IF('1-Ders Havuzu'!A133="","",'1-Ders Havuzu'!A133),"")</f>
        <v/>
      </c>
      <c r="F397" s="33" t="str">
        <f aca="false">IF($A397="Seçildi",IF('1-Ders Havuzu'!H133="","",'1-Ders Havuzu'!H133),"")</f>
        <v/>
      </c>
      <c r="G397" s="33" t="str">
        <f aca="false">IF($A397="Seçildi",IF('2-Ders-Öğr.Elemanı Eşleştirme'!H133="","",'2-Ders-Öğr.Elemanı Eşleştirme'!H133),"")</f>
        <v/>
      </c>
      <c r="H397" s="35" t="n">
        <v>1</v>
      </c>
      <c r="I397" s="36"/>
      <c r="J397" s="36"/>
      <c r="K397" s="36"/>
      <c r="L397" s="36"/>
      <c r="M397" s="33" t="str">
        <f aca="false">IF($J397="","",MATCH($J397,{"08.00";"09.00";"10.00";"11.00";"12.00";"13.00";"14.00";"15.00";"16.00";"17.00"},0))</f>
        <v/>
      </c>
      <c r="N397" s="33" t="str">
        <f aca="false">IF(OR($M397="",$K397=""),"",$M397+$K397-1)</f>
        <v/>
      </c>
      <c r="O397" s="33" t="str">
        <f aca="false">IF($A397&lt;&gt;"Seçildi","",IF(OR($M397="",$N397=""),"",IF($N397&gt;10,"⚠ Saat Taşıyor","")))</f>
        <v/>
      </c>
      <c r="P397" s="33" t="str">
        <f aca="false">IF($A397&lt;&gt;"Seçildi","",IF(OR($G397="",$I397="",$M397=""),"",IF(SUMPRODUCT(($A$7:$A$456="Seçildi")*($G$7:$G$456=$G397)*($I$7:$I$456=$I397)*(ROW($A$7:$A$456)&lt;&gt;397)*($M$7:$M$456&lt;=$N397)*($N$7:$N$456&gt;=$M397))&gt;0,"⚠ Çakışma","OK")))</f>
        <v/>
      </c>
      <c r="Q397" s="33" t="str">
        <f aca="false">IF($A397&lt;&gt;"Seçildi","",IF(OR($L397="",$I397="",$M397=""),"",IF(SUMPRODUCT(($A$7:$A$456="Seçildi")*($L$7:$L$456=$L397)*($I$7:$I$456=$I397)*(ROW($A$7:$A$456)&lt;&gt;397)*($M$7:$M$456&lt;=$N397)*($N$7:$N$456&gt;=$M397))&gt;0,"⚠ Çakışma","OK")))</f>
        <v/>
      </c>
      <c r="R397" s="33" t="str">
        <f aca="false">IF($A397&lt;&gt;"Seçildi","",IF(OR($D397="",$I397="",$M397=""),"",IF(SUMPRODUCT(($A$7:$A$456="Seçildi")*($D$7:$D$456=$D397)*($I$7:$I$456=$I397)*(ROW($A$7:$A$456)&lt;&gt;397)*($M$7:$M$456&lt;=$N397)*($N$7:$N$456&gt;=$M397))&gt;0,"⚠ Çakışma","OK")))</f>
        <v/>
      </c>
      <c r="S397" s="33" t="str">
        <f aca="false">IF($A397&lt;&gt;"Seçildi","",IF(SUM($K397,$K398,$K399)&lt;&gt;$F397,"⚠ Dağılım: "&amp;SUM($K397:$K399)&amp;"/"&amp;$F397&amp;" saat","✓ Tamam"))</f>
        <v/>
      </c>
      <c r="T397" s="33" t="str">
        <f aca="false">IF($A397&lt;&gt;"Seçildi","",IF(OR($O397&lt;&gt;"",$P397="⚠ Çakışma",$Q397="⚠ Çakışma",$R397="⚠ Çakışma",LEFT($S397&amp;" ",1)="⚠"),"⚠ Kontrol Et","✓ Uygun"))</f>
        <v/>
      </c>
    </row>
    <row r="398" customFormat="false" ht="13.5" hidden="false" customHeight="true" outlineLevel="0" collapsed="false">
      <c r="A398" s="33" t="n">
        <f aca="false">'1-Ders Havuzu'!K133</f>
        <v>0</v>
      </c>
      <c r="B398" s="33" t="str">
        <f aca="false">IF($A398="Seçildi",IF('1-Ders Havuzu'!C133="","",'1-Ders Havuzu'!C133),"")</f>
        <v/>
      </c>
      <c r="C398" s="34" t="str">
        <f aca="false">IF($A398="Seçildi",IF('1-Ders Havuzu'!D133="","",'1-Ders Havuzu'!D133),"")</f>
        <v/>
      </c>
      <c r="D398" s="33" t="str">
        <f aca="false">IF($A398="Seçildi",IF('1-Ders Havuzu'!B133="","",'1-Ders Havuzu'!B133),"")</f>
        <v/>
      </c>
      <c r="E398" s="33" t="str">
        <f aca="false">IF($A398="Seçildi",IF('1-Ders Havuzu'!A133="","",'1-Ders Havuzu'!A133),"")</f>
        <v/>
      </c>
      <c r="F398" s="33" t="str">
        <f aca="false">IF($A398="Seçildi",IF('1-Ders Havuzu'!H133="","",'1-Ders Havuzu'!H133),"")</f>
        <v/>
      </c>
      <c r="G398" s="33" t="str">
        <f aca="false">IF($A398="Seçildi",IF('2-Ders-Öğr.Elemanı Eşleştirme'!H133="","",'2-Ders-Öğr.Elemanı Eşleştirme'!H133),"")</f>
        <v/>
      </c>
      <c r="H398" s="35" t="n">
        <v>2</v>
      </c>
      <c r="I398" s="36"/>
      <c r="J398" s="36"/>
      <c r="K398" s="36"/>
      <c r="L398" s="36"/>
      <c r="M398" s="33" t="str">
        <f aca="false">IF($J398="","",MATCH($J398,{"08.00";"09.00";"10.00";"11.00";"12.00";"13.00";"14.00";"15.00";"16.00";"17.00"},0))</f>
        <v/>
      </c>
      <c r="N398" s="33" t="str">
        <f aca="false">IF(OR($M398="",$K398=""),"",$M398+$K398-1)</f>
        <v/>
      </c>
      <c r="O398" s="33" t="str">
        <f aca="false">IF($A398&lt;&gt;"Seçildi","",IF(OR($M398="",$N398=""),"",IF($N398&gt;10,"⚠ Saat Taşıyor","")))</f>
        <v/>
      </c>
      <c r="P398" s="33" t="str">
        <f aca="false">IF($A398&lt;&gt;"Seçildi","",IF(OR($G398="",$I398="",$M398=""),"",IF(SUMPRODUCT(($A$7:$A$456="Seçildi")*($G$7:$G$456=$G398)*($I$7:$I$456=$I398)*(ROW($A$7:$A$456)&lt;&gt;398)*($M$7:$M$456&lt;=$N398)*($N$7:$N$456&gt;=$M398))&gt;0,"⚠ Çakışma","OK")))</f>
        <v/>
      </c>
      <c r="Q398" s="33" t="str">
        <f aca="false">IF($A398&lt;&gt;"Seçildi","",IF(OR($L398="",$I398="",$M398=""),"",IF(SUMPRODUCT(($A$7:$A$456="Seçildi")*($L$7:$L$456=$L398)*($I$7:$I$456=$I398)*(ROW($A$7:$A$456)&lt;&gt;398)*($M$7:$M$456&lt;=$N398)*($N$7:$N$456&gt;=$M398))&gt;0,"⚠ Çakışma","OK")))</f>
        <v/>
      </c>
      <c r="R398" s="33" t="str">
        <f aca="false">IF($A398&lt;&gt;"Seçildi","",IF(OR($D398="",$I398="",$M398=""),"",IF(SUMPRODUCT(($A$7:$A$456="Seçildi")*($D$7:$D$456=$D398)*($I$7:$I$456=$I398)*(ROW($A$7:$A$456)&lt;&gt;398)*($M$7:$M$456&lt;=$N398)*($N$7:$N$456&gt;=$M398))&gt;0,"⚠ Çakışma","OK")))</f>
        <v/>
      </c>
      <c r="S398" s="33"/>
      <c r="T398" s="33" t="str">
        <f aca="false">IF(OR($A398&lt;&gt;"Seçildi",AND($I398="",$J398="")),"",IF(OR($O398&lt;&gt;"",$P398="⚠ Çakışma",$Q398="⚠ Çakışma",$R398="⚠ Çakışma"),"⚠ Kontrol Et","✓ Uygun"))</f>
        <v/>
      </c>
    </row>
    <row r="399" customFormat="false" ht="13.5" hidden="false" customHeight="true" outlineLevel="0" collapsed="false">
      <c r="A399" s="33" t="n">
        <f aca="false">'1-Ders Havuzu'!K133</f>
        <v>0</v>
      </c>
      <c r="B399" s="33" t="str">
        <f aca="false">IF($A399="Seçildi",IF('1-Ders Havuzu'!C133="","",'1-Ders Havuzu'!C133),"")</f>
        <v/>
      </c>
      <c r="C399" s="34" t="str">
        <f aca="false">IF($A399="Seçildi",IF('1-Ders Havuzu'!D133="","",'1-Ders Havuzu'!D133),"")</f>
        <v/>
      </c>
      <c r="D399" s="33" t="str">
        <f aca="false">IF($A399="Seçildi",IF('1-Ders Havuzu'!B133="","",'1-Ders Havuzu'!B133),"")</f>
        <v/>
      </c>
      <c r="E399" s="33" t="str">
        <f aca="false">IF($A399="Seçildi",IF('1-Ders Havuzu'!A133="","",'1-Ders Havuzu'!A133),"")</f>
        <v/>
      </c>
      <c r="F399" s="33" t="str">
        <f aca="false">IF($A399="Seçildi",IF('1-Ders Havuzu'!H133="","",'1-Ders Havuzu'!H133),"")</f>
        <v/>
      </c>
      <c r="G399" s="33" t="str">
        <f aca="false">IF($A399="Seçildi",IF('2-Ders-Öğr.Elemanı Eşleştirme'!H133="","",'2-Ders-Öğr.Elemanı Eşleştirme'!H133),"")</f>
        <v/>
      </c>
      <c r="H399" s="35" t="n">
        <v>3</v>
      </c>
      <c r="I399" s="36"/>
      <c r="J399" s="36"/>
      <c r="K399" s="36"/>
      <c r="L399" s="36"/>
      <c r="M399" s="33" t="str">
        <f aca="false">IF($J399="","",MATCH($J399,{"08.00";"09.00";"10.00";"11.00";"12.00";"13.00";"14.00";"15.00";"16.00";"17.00"},0))</f>
        <v/>
      </c>
      <c r="N399" s="33" t="str">
        <f aca="false">IF(OR($M399="",$K399=""),"",$M399+$K399-1)</f>
        <v/>
      </c>
      <c r="O399" s="33" t="str">
        <f aca="false">IF($A399&lt;&gt;"Seçildi","",IF(OR($M399="",$N399=""),"",IF($N399&gt;10,"⚠ Saat Taşıyor","")))</f>
        <v/>
      </c>
      <c r="P399" s="33" t="str">
        <f aca="false">IF($A399&lt;&gt;"Seçildi","",IF(OR($G399="",$I399="",$M399=""),"",IF(SUMPRODUCT(($A$7:$A$456="Seçildi")*($G$7:$G$456=$G399)*($I$7:$I$456=$I399)*(ROW($A$7:$A$456)&lt;&gt;399)*($M$7:$M$456&lt;=$N399)*($N$7:$N$456&gt;=$M399))&gt;0,"⚠ Çakışma","OK")))</f>
        <v/>
      </c>
      <c r="Q399" s="33" t="str">
        <f aca="false">IF($A399&lt;&gt;"Seçildi","",IF(OR($L399="",$I399="",$M399=""),"",IF(SUMPRODUCT(($A$7:$A$456="Seçildi")*($L$7:$L$456=$L399)*($I$7:$I$456=$I399)*(ROW($A$7:$A$456)&lt;&gt;399)*($M$7:$M$456&lt;=$N399)*($N$7:$N$456&gt;=$M399))&gt;0,"⚠ Çakışma","OK")))</f>
        <v/>
      </c>
      <c r="R399" s="33" t="str">
        <f aca="false">IF($A399&lt;&gt;"Seçildi","",IF(OR($D399="",$I399="",$M399=""),"",IF(SUMPRODUCT(($A$7:$A$456="Seçildi")*($D$7:$D$456=$D399)*($I$7:$I$456=$I399)*(ROW($A$7:$A$456)&lt;&gt;399)*($M$7:$M$456&lt;=$N399)*($N$7:$N$456&gt;=$M399))&gt;0,"⚠ Çakışma","OK")))</f>
        <v/>
      </c>
      <c r="S399" s="33"/>
      <c r="T399" s="33" t="str">
        <f aca="false">IF(OR($A399&lt;&gt;"Seçildi",AND($I399="",$J399="")),"",IF(OR($O399&lt;&gt;"",$P399="⚠ Çakışma",$Q399="⚠ Çakışma",$R399="⚠ Çakışma"),"⚠ Kontrol Et","✓ Uygun"))</f>
        <v/>
      </c>
    </row>
    <row r="400" customFormat="false" ht="13.5" hidden="false" customHeight="true" outlineLevel="0" collapsed="false">
      <c r="A400" s="37" t="n">
        <f aca="false">'1-Ders Havuzu'!K134</f>
        <v>0</v>
      </c>
      <c r="B400" s="37" t="str">
        <f aca="false">IF($A400="Seçildi",IF('1-Ders Havuzu'!C134="","",'1-Ders Havuzu'!C134),"")</f>
        <v/>
      </c>
      <c r="C400" s="38" t="str">
        <f aca="false">IF($A400="Seçildi",IF('1-Ders Havuzu'!D134="","",'1-Ders Havuzu'!D134),"")</f>
        <v/>
      </c>
      <c r="D400" s="37" t="str">
        <f aca="false">IF($A400="Seçildi",IF('1-Ders Havuzu'!B134="","",'1-Ders Havuzu'!B134),"")</f>
        <v/>
      </c>
      <c r="E400" s="37" t="str">
        <f aca="false">IF($A400="Seçildi",IF('1-Ders Havuzu'!A134="","",'1-Ders Havuzu'!A134),"")</f>
        <v/>
      </c>
      <c r="F400" s="37" t="str">
        <f aca="false">IF($A400="Seçildi",IF('1-Ders Havuzu'!H134="","",'1-Ders Havuzu'!H134),"")</f>
        <v/>
      </c>
      <c r="G400" s="37" t="str">
        <f aca="false">IF($A400="Seçildi",IF('2-Ders-Öğr.Elemanı Eşleştirme'!H134="","",'2-Ders-Öğr.Elemanı Eşleştirme'!H134),"")</f>
        <v/>
      </c>
      <c r="H400" s="39" t="n">
        <v>1</v>
      </c>
      <c r="I400" s="36"/>
      <c r="J400" s="36"/>
      <c r="K400" s="36"/>
      <c r="L400" s="36"/>
      <c r="M400" s="37" t="str">
        <f aca="false">IF($J400="","",MATCH($J400,{"08.00";"09.00";"10.00";"11.00";"12.00";"13.00";"14.00";"15.00";"16.00";"17.00"},0))</f>
        <v/>
      </c>
      <c r="N400" s="37" t="str">
        <f aca="false">IF(OR($M400="",$K400=""),"",$M400+$K400-1)</f>
        <v/>
      </c>
      <c r="O400" s="37" t="str">
        <f aca="false">IF($A400&lt;&gt;"Seçildi","",IF(OR($M400="",$N400=""),"",IF($N400&gt;10,"⚠ Saat Taşıyor","")))</f>
        <v/>
      </c>
      <c r="P400" s="37" t="str">
        <f aca="false">IF($A400&lt;&gt;"Seçildi","",IF(OR($G400="",$I400="",$M400=""),"",IF(SUMPRODUCT(($A$7:$A$456="Seçildi")*($G$7:$G$456=$G400)*($I$7:$I$456=$I400)*(ROW($A$7:$A$456)&lt;&gt;400)*($M$7:$M$456&lt;=$N400)*($N$7:$N$456&gt;=$M400))&gt;0,"⚠ Çakışma","OK")))</f>
        <v/>
      </c>
      <c r="Q400" s="37" t="str">
        <f aca="false">IF($A400&lt;&gt;"Seçildi","",IF(OR($L400="",$I400="",$M400=""),"",IF(SUMPRODUCT(($A$7:$A$456="Seçildi")*($L$7:$L$456=$L400)*($I$7:$I$456=$I400)*(ROW($A$7:$A$456)&lt;&gt;400)*($M$7:$M$456&lt;=$N400)*($N$7:$N$456&gt;=$M400))&gt;0,"⚠ Çakışma","OK")))</f>
        <v/>
      </c>
      <c r="R400" s="37" t="str">
        <f aca="false">IF($A400&lt;&gt;"Seçildi","",IF(OR($D400="",$I400="",$M400=""),"",IF(SUMPRODUCT(($A$7:$A$456="Seçildi")*($D$7:$D$456=$D400)*($I$7:$I$456=$I400)*(ROW($A$7:$A$456)&lt;&gt;400)*($M$7:$M$456&lt;=$N400)*($N$7:$N$456&gt;=$M400))&gt;0,"⚠ Çakışma","OK")))</f>
        <v/>
      </c>
      <c r="S400" s="37" t="str">
        <f aca="false">IF($A400&lt;&gt;"Seçildi","",IF(SUM($K400,$K401,$K402)&lt;&gt;$F400,"⚠ Dağılım: "&amp;SUM($K400:$K402)&amp;"/"&amp;$F400&amp;" saat","✓ Tamam"))</f>
        <v/>
      </c>
      <c r="T400" s="37" t="str">
        <f aca="false">IF($A400&lt;&gt;"Seçildi","",IF(OR($O400&lt;&gt;"",$P400="⚠ Çakışma",$Q400="⚠ Çakışma",$R400="⚠ Çakışma",LEFT($S400&amp;" ",1)="⚠"),"⚠ Kontrol Et","✓ Uygun"))</f>
        <v/>
      </c>
    </row>
    <row r="401" customFormat="false" ht="13.5" hidden="false" customHeight="true" outlineLevel="0" collapsed="false">
      <c r="A401" s="37" t="n">
        <f aca="false">'1-Ders Havuzu'!K134</f>
        <v>0</v>
      </c>
      <c r="B401" s="37" t="str">
        <f aca="false">IF($A401="Seçildi",IF('1-Ders Havuzu'!C134="","",'1-Ders Havuzu'!C134),"")</f>
        <v/>
      </c>
      <c r="C401" s="38" t="str">
        <f aca="false">IF($A401="Seçildi",IF('1-Ders Havuzu'!D134="","",'1-Ders Havuzu'!D134),"")</f>
        <v/>
      </c>
      <c r="D401" s="37" t="str">
        <f aca="false">IF($A401="Seçildi",IF('1-Ders Havuzu'!B134="","",'1-Ders Havuzu'!B134),"")</f>
        <v/>
      </c>
      <c r="E401" s="37" t="str">
        <f aca="false">IF($A401="Seçildi",IF('1-Ders Havuzu'!A134="","",'1-Ders Havuzu'!A134),"")</f>
        <v/>
      </c>
      <c r="F401" s="37" t="str">
        <f aca="false">IF($A401="Seçildi",IF('1-Ders Havuzu'!H134="","",'1-Ders Havuzu'!H134),"")</f>
        <v/>
      </c>
      <c r="G401" s="37" t="str">
        <f aca="false">IF($A401="Seçildi",IF('2-Ders-Öğr.Elemanı Eşleştirme'!H134="","",'2-Ders-Öğr.Elemanı Eşleştirme'!H134),"")</f>
        <v/>
      </c>
      <c r="H401" s="39" t="n">
        <v>2</v>
      </c>
      <c r="I401" s="36"/>
      <c r="J401" s="36"/>
      <c r="K401" s="36"/>
      <c r="L401" s="36"/>
      <c r="M401" s="37" t="str">
        <f aca="false">IF($J401="","",MATCH($J401,{"08.00";"09.00";"10.00";"11.00";"12.00";"13.00";"14.00";"15.00";"16.00";"17.00"},0))</f>
        <v/>
      </c>
      <c r="N401" s="37" t="str">
        <f aca="false">IF(OR($M401="",$K401=""),"",$M401+$K401-1)</f>
        <v/>
      </c>
      <c r="O401" s="37" t="str">
        <f aca="false">IF($A401&lt;&gt;"Seçildi","",IF(OR($M401="",$N401=""),"",IF($N401&gt;10,"⚠ Saat Taşıyor","")))</f>
        <v/>
      </c>
      <c r="P401" s="37" t="str">
        <f aca="false">IF($A401&lt;&gt;"Seçildi","",IF(OR($G401="",$I401="",$M401=""),"",IF(SUMPRODUCT(($A$7:$A$456="Seçildi")*($G$7:$G$456=$G401)*($I$7:$I$456=$I401)*(ROW($A$7:$A$456)&lt;&gt;401)*($M$7:$M$456&lt;=$N401)*($N$7:$N$456&gt;=$M401))&gt;0,"⚠ Çakışma","OK")))</f>
        <v/>
      </c>
      <c r="Q401" s="37" t="str">
        <f aca="false">IF($A401&lt;&gt;"Seçildi","",IF(OR($L401="",$I401="",$M401=""),"",IF(SUMPRODUCT(($A$7:$A$456="Seçildi")*($L$7:$L$456=$L401)*($I$7:$I$456=$I401)*(ROW($A$7:$A$456)&lt;&gt;401)*($M$7:$M$456&lt;=$N401)*($N$7:$N$456&gt;=$M401))&gt;0,"⚠ Çakışma","OK")))</f>
        <v/>
      </c>
      <c r="R401" s="37" t="str">
        <f aca="false">IF($A401&lt;&gt;"Seçildi","",IF(OR($D401="",$I401="",$M401=""),"",IF(SUMPRODUCT(($A$7:$A$456="Seçildi")*($D$7:$D$456=$D401)*($I$7:$I$456=$I401)*(ROW($A$7:$A$456)&lt;&gt;401)*($M$7:$M$456&lt;=$N401)*($N$7:$N$456&gt;=$M401))&gt;0,"⚠ Çakışma","OK")))</f>
        <v/>
      </c>
      <c r="S401" s="37"/>
      <c r="T401" s="37" t="str">
        <f aca="false">IF(OR($A401&lt;&gt;"Seçildi",AND($I401="",$J401="")),"",IF(OR($O401&lt;&gt;"",$P401="⚠ Çakışma",$Q401="⚠ Çakışma",$R401="⚠ Çakışma"),"⚠ Kontrol Et","✓ Uygun"))</f>
        <v/>
      </c>
    </row>
    <row r="402" customFormat="false" ht="13.5" hidden="false" customHeight="true" outlineLevel="0" collapsed="false">
      <c r="A402" s="37" t="n">
        <f aca="false">'1-Ders Havuzu'!K134</f>
        <v>0</v>
      </c>
      <c r="B402" s="37" t="str">
        <f aca="false">IF($A402="Seçildi",IF('1-Ders Havuzu'!C134="","",'1-Ders Havuzu'!C134),"")</f>
        <v/>
      </c>
      <c r="C402" s="38" t="str">
        <f aca="false">IF($A402="Seçildi",IF('1-Ders Havuzu'!D134="","",'1-Ders Havuzu'!D134),"")</f>
        <v/>
      </c>
      <c r="D402" s="37" t="str">
        <f aca="false">IF($A402="Seçildi",IF('1-Ders Havuzu'!B134="","",'1-Ders Havuzu'!B134),"")</f>
        <v/>
      </c>
      <c r="E402" s="37" t="str">
        <f aca="false">IF($A402="Seçildi",IF('1-Ders Havuzu'!A134="","",'1-Ders Havuzu'!A134),"")</f>
        <v/>
      </c>
      <c r="F402" s="37" t="str">
        <f aca="false">IF($A402="Seçildi",IF('1-Ders Havuzu'!H134="","",'1-Ders Havuzu'!H134),"")</f>
        <v/>
      </c>
      <c r="G402" s="37" t="str">
        <f aca="false">IF($A402="Seçildi",IF('2-Ders-Öğr.Elemanı Eşleştirme'!H134="","",'2-Ders-Öğr.Elemanı Eşleştirme'!H134),"")</f>
        <v/>
      </c>
      <c r="H402" s="39" t="n">
        <v>3</v>
      </c>
      <c r="I402" s="36"/>
      <c r="J402" s="36"/>
      <c r="K402" s="36"/>
      <c r="L402" s="36"/>
      <c r="M402" s="37" t="str">
        <f aca="false">IF($J402="","",MATCH($J402,{"08.00";"09.00";"10.00";"11.00";"12.00";"13.00";"14.00";"15.00";"16.00";"17.00"},0))</f>
        <v/>
      </c>
      <c r="N402" s="37" t="str">
        <f aca="false">IF(OR($M402="",$K402=""),"",$M402+$K402-1)</f>
        <v/>
      </c>
      <c r="O402" s="37" t="str">
        <f aca="false">IF($A402&lt;&gt;"Seçildi","",IF(OR($M402="",$N402=""),"",IF($N402&gt;10,"⚠ Saat Taşıyor","")))</f>
        <v/>
      </c>
      <c r="P402" s="37" t="str">
        <f aca="false">IF($A402&lt;&gt;"Seçildi","",IF(OR($G402="",$I402="",$M402=""),"",IF(SUMPRODUCT(($A$7:$A$456="Seçildi")*($G$7:$G$456=$G402)*($I$7:$I$456=$I402)*(ROW($A$7:$A$456)&lt;&gt;402)*($M$7:$M$456&lt;=$N402)*($N$7:$N$456&gt;=$M402))&gt;0,"⚠ Çakışma","OK")))</f>
        <v/>
      </c>
      <c r="Q402" s="37" t="str">
        <f aca="false">IF($A402&lt;&gt;"Seçildi","",IF(OR($L402="",$I402="",$M402=""),"",IF(SUMPRODUCT(($A$7:$A$456="Seçildi")*($L$7:$L$456=$L402)*($I$7:$I$456=$I402)*(ROW($A$7:$A$456)&lt;&gt;402)*($M$7:$M$456&lt;=$N402)*($N$7:$N$456&gt;=$M402))&gt;0,"⚠ Çakışma","OK")))</f>
        <v/>
      </c>
      <c r="R402" s="37" t="str">
        <f aca="false">IF($A402&lt;&gt;"Seçildi","",IF(OR($D402="",$I402="",$M402=""),"",IF(SUMPRODUCT(($A$7:$A$456="Seçildi")*($D$7:$D$456=$D402)*($I$7:$I$456=$I402)*(ROW($A$7:$A$456)&lt;&gt;402)*($M$7:$M$456&lt;=$N402)*($N$7:$N$456&gt;=$M402))&gt;0,"⚠ Çakışma","OK")))</f>
        <v/>
      </c>
      <c r="S402" s="37"/>
      <c r="T402" s="37" t="str">
        <f aca="false">IF(OR($A402&lt;&gt;"Seçildi",AND($I402="",$J402="")),"",IF(OR($O402&lt;&gt;"",$P402="⚠ Çakışma",$Q402="⚠ Çakışma",$R402="⚠ Çakışma"),"⚠ Kontrol Et","✓ Uygun"))</f>
        <v/>
      </c>
    </row>
    <row r="403" customFormat="false" ht="13.5" hidden="false" customHeight="true" outlineLevel="0" collapsed="false">
      <c r="A403" s="33" t="n">
        <f aca="false">'1-Ders Havuzu'!K135</f>
        <v>0</v>
      </c>
      <c r="B403" s="33" t="str">
        <f aca="false">IF($A403="Seçildi",IF('1-Ders Havuzu'!C135="","",'1-Ders Havuzu'!C135),"")</f>
        <v/>
      </c>
      <c r="C403" s="34" t="str">
        <f aca="false">IF($A403="Seçildi",IF('1-Ders Havuzu'!D135="","",'1-Ders Havuzu'!D135),"")</f>
        <v/>
      </c>
      <c r="D403" s="33" t="str">
        <f aca="false">IF($A403="Seçildi",IF('1-Ders Havuzu'!B135="","",'1-Ders Havuzu'!B135),"")</f>
        <v/>
      </c>
      <c r="E403" s="33" t="str">
        <f aca="false">IF($A403="Seçildi",IF('1-Ders Havuzu'!A135="","",'1-Ders Havuzu'!A135),"")</f>
        <v/>
      </c>
      <c r="F403" s="33" t="str">
        <f aca="false">IF($A403="Seçildi",IF('1-Ders Havuzu'!H135="","",'1-Ders Havuzu'!H135),"")</f>
        <v/>
      </c>
      <c r="G403" s="33" t="str">
        <f aca="false">IF($A403="Seçildi",IF('2-Ders-Öğr.Elemanı Eşleştirme'!H135="","",'2-Ders-Öğr.Elemanı Eşleştirme'!H135),"")</f>
        <v/>
      </c>
      <c r="H403" s="35" t="n">
        <v>1</v>
      </c>
      <c r="I403" s="36"/>
      <c r="J403" s="36"/>
      <c r="K403" s="36"/>
      <c r="L403" s="36"/>
      <c r="M403" s="33" t="str">
        <f aca="false">IF($J403="","",MATCH($J403,{"08.00";"09.00";"10.00";"11.00";"12.00";"13.00";"14.00";"15.00";"16.00";"17.00"},0))</f>
        <v/>
      </c>
      <c r="N403" s="33" t="str">
        <f aca="false">IF(OR($M403="",$K403=""),"",$M403+$K403-1)</f>
        <v/>
      </c>
      <c r="O403" s="33" t="str">
        <f aca="false">IF($A403&lt;&gt;"Seçildi","",IF(OR($M403="",$N403=""),"",IF($N403&gt;10,"⚠ Saat Taşıyor","")))</f>
        <v/>
      </c>
      <c r="P403" s="33" t="str">
        <f aca="false">IF($A403&lt;&gt;"Seçildi","",IF(OR($G403="",$I403="",$M403=""),"",IF(SUMPRODUCT(($A$7:$A$456="Seçildi")*($G$7:$G$456=$G403)*($I$7:$I$456=$I403)*(ROW($A$7:$A$456)&lt;&gt;403)*($M$7:$M$456&lt;=$N403)*($N$7:$N$456&gt;=$M403))&gt;0,"⚠ Çakışma","OK")))</f>
        <v/>
      </c>
      <c r="Q403" s="33" t="str">
        <f aca="false">IF($A403&lt;&gt;"Seçildi","",IF(OR($L403="",$I403="",$M403=""),"",IF(SUMPRODUCT(($A$7:$A$456="Seçildi")*($L$7:$L$456=$L403)*($I$7:$I$456=$I403)*(ROW($A$7:$A$456)&lt;&gt;403)*($M$7:$M$456&lt;=$N403)*($N$7:$N$456&gt;=$M403))&gt;0,"⚠ Çakışma","OK")))</f>
        <v/>
      </c>
      <c r="R403" s="33" t="str">
        <f aca="false">IF($A403&lt;&gt;"Seçildi","",IF(OR($D403="",$I403="",$M403=""),"",IF(SUMPRODUCT(($A$7:$A$456="Seçildi")*($D$7:$D$456=$D403)*($I$7:$I$456=$I403)*(ROW($A$7:$A$456)&lt;&gt;403)*($M$7:$M$456&lt;=$N403)*($N$7:$N$456&gt;=$M403))&gt;0,"⚠ Çakışma","OK")))</f>
        <v/>
      </c>
      <c r="S403" s="33" t="str">
        <f aca="false">IF($A403&lt;&gt;"Seçildi","",IF(SUM($K403,$K404,$K405)&lt;&gt;$F403,"⚠ Dağılım: "&amp;SUM($K403:$K405)&amp;"/"&amp;$F403&amp;" saat","✓ Tamam"))</f>
        <v/>
      </c>
      <c r="T403" s="33" t="str">
        <f aca="false">IF($A403&lt;&gt;"Seçildi","",IF(OR($O403&lt;&gt;"",$P403="⚠ Çakışma",$Q403="⚠ Çakışma",$R403="⚠ Çakışma",LEFT($S403&amp;" ",1)="⚠"),"⚠ Kontrol Et","✓ Uygun"))</f>
        <v/>
      </c>
    </row>
    <row r="404" customFormat="false" ht="13.5" hidden="false" customHeight="true" outlineLevel="0" collapsed="false">
      <c r="A404" s="33" t="n">
        <f aca="false">'1-Ders Havuzu'!K135</f>
        <v>0</v>
      </c>
      <c r="B404" s="33" t="str">
        <f aca="false">IF($A404="Seçildi",IF('1-Ders Havuzu'!C135="","",'1-Ders Havuzu'!C135),"")</f>
        <v/>
      </c>
      <c r="C404" s="34" t="str">
        <f aca="false">IF($A404="Seçildi",IF('1-Ders Havuzu'!D135="","",'1-Ders Havuzu'!D135),"")</f>
        <v/>
      </c>
      <c r="D404" s="33" t="str">
        <f aca="false">IF($A404="Seçildi",IF('1-Ders Havuzu'!B135="","",'1-Ders Havuzu'!B135),"")</f>
        <v/>
      </c>
      <c r="E404" s="33" t="str">
        <f aca="false">IF($A404="Seçildi",IF('1-Ders Havuzu'!A135="","",'1-Ders Havuzu'!A135),"")</f>
        <v/>
      </c>
      <c r="F404" s="33" t="str">
        <f aca="false">IF($A404="Seçildi",IF('1-Ders Havuzu'!H135="","",'1-Ders Havuzu'!H135),"")</f>
        <v/>
      </c>
      <c r="G404" s="33" t="str">
        <f aca="false">IF($A404="Seçildi",IF('2-Ders-Öğr.Elemanı Eşleştirme'!H135="","",'2-Ders-Öğr.Elemanı Eşleştirme'!H135),"")</f>
        <v/>
      </c>
      <c r="H404" s="35" t="n">
        <v>2</v>
      </c>
      <c r="I404" s="36"/>
      <c r="J404" s="36"/>
      <c r="K404" s="36"/>
      <c r="L404" s="36"/>
      <c r="M404" s="33" t="str">
        <f aca="false">IF($J404="","",MATCH($J404,{"08.00";"09.00";"10.00";"11.00";"12.00";"13.00";"14.00";"15.00";"16.00";"17.00"},0))</f>
        <v/>
      </c>
      <c r="N404" s="33" t="str">
        <f aca="false">IF(OR($M404="",$K404=""),"",$M404+$K404-1)</f>
        <v/>
      </c>
      <c r="O404" s="33" t="str">
        <f aca="false">IF($A404&lt;&gt;"Seçildi","",IF(OR($M404="",$N404=""),"",IF($N404&gt;10,"⚠ Saat Taşıyor","")))</f>
        <v/>
      </c>
      <c r="P404" s="33" t="str">
        <f aca="false">IF($A404&lt;&gt;"Seçildi","",IF(OR($G404="",$I404="",$M404=""),"",IF(SUMPRODUCT(($A$7:$A$456="Seçildi")*($G$7:$G$456=$G404)*($I$7:$I$456=$I404)*(ROW($A$7:$A$456)&lt;&gt;404)*($M$7:$M$456&lt;=$N404)*($N$7:$N$456&gt;=$M404))&gt;0,"⚠ Çakışma","OK")))</f>
        <v/>
      </c>
      <c r="Q404" s="33" t="str">
        <f aca="false">IF($A404&lt;&gt;"Seçildi","",IF(OR($L404="",$I404="",$M404=""),"",IF(SUMPRODUCT(($A$7:$A$456="Seçildi")*($L$7:$L$456=$L404)*($I$7:$I$456=$I404)*(ROW($A$7:$A$456)&lt;&gt;404)*($M$7:$M$456&lt;=$N404)*($N$7:$N$456&gt;=$M404))&gt;0,"⚠ Çakışma","OK")))</f>
        <v/>
      </c>
      <c r="R404" s="33" t="str">
        <f aca="false">IF($A404&lt;&gt;"Seçildi","",IF(OR($D404="",$I404="",$M404=""),"",IF(SUMPRODUCT(($A$7:$A$456="Seçildi")*($D$7:$D$456=$D404)*($I$7:$I$456=$I404)*(ROW($A$7:$A$456)&lt;&gt;404)*($M$7:$M$456&lt;=$N404)*($N$7:$N$456&gt;=$M404))&gt;0,"⚠ Çakışma","OK")))</f>
        <v/>
      </c>
      <c r="S404" s="33"/>
      <c r="T404" s="33" t="str">
        <f aca="false">IF(OR($A404&lt;&gt;"Seçildi",AND($I404="",$J404="")),"",IF(OR($O404&lt;&gt;"",$P404="⚠ Çakışma",$Q404="⚠ Çakışma",$R404="⚠ Çakışma"),"⚠ Kontrol Et","✓ Uygun"))</f>
        <v/>
      </c>
    </row>
    <row r="405" customFormat="false" ht="13.5" hidden="false" customHeight="true" outlineLevel="0" collapsed="false">
      <c r="A405" s="33" t="n">
        <f aca="false">'1-Ders Havuzu'!K135</f>
        <v>0</v>
      </c>
      <c r="B405" s="33" t="str">
        <f aca="false">IF($A405="Seçildi",IF('1-Ders Havuzu'!C135="","",'1-Ders Havuzu'!C135),"")</f>
        <v/>
      </c>
      <c r="C405" s="34" t="str">
        <f aca="false">IF($A405="Seçildi",IF('1-Ders Havuzu'!D135="","",'1-Ders Havuzu'!D135),"")</f>
        <v/>
      </c>
      <c r="D405" s="33" t="str">
        <f aca="false">IF($A405="Seçildi",IF('1-Ders Havuzu'!B135="","",'1-Ders Havuzu'!B135),"")</f>
        <v/>
      </c>
      <c r="E405" s="33" t="str">
        <f aca="false">IF($A405="Seçildi",IF('1-Ders Havuzu'!A135="","",'1-Ders Havuzu'!A135),"")</f>
        <v/>
      </c>
      <c r="F405" s="33" t="str">
        <f aca="false">IF($A405="Seçildi",IF('1-Ders Havuzu'!H135="","",'1-Ders Havuzu'!H135),"")</f>
        <v/>
      </c>
      <c r="G405" s="33" t="str">
        <f aca="false">IF($A405="Seçildi",IF('2-Ders-Öğr.Elemanı Eşleştirme'!H135="","",'2-Ders-Öğr.Elemanı Eşleştirme'!H135),"")</f>
        <v/>
      </c>
      <c r="H405" s="35" t="n">
        <v>3</v>
      </c>
      <c r="I405" s="36"/>
      <c r="J405" s="36"/>
      <c r="K405" s="36"/>
      <c r="L405" s="36"/>
      <c r="M405" s="33" t="str">
        <f aca="false">IF($J405="","",MATCH($J405,{"08.00";"09.00";"10.00";"11.00";"12.00";"13.00";"14.00";"15.00";"16.00";"17.00"},0))</f>
        <v/>
      </c>
      <c r="N405" s="33" t="str">
        <f aca="false">IF(OR($M405="",$K405=""),"",$M405+$K405-1)</f>
        <v/>
      </c>
      <c r="O405" s="33" t="str">
        <f aca="false">IF($A405&lt;&gt;"Seçildi","",IF(OR($M405="",$N405=""),"",IF($N405&gt;10,"⚠ Saat Taşıyor","")))</f>
        <v/>
      </c>
      <c r="P405" s="33" t="str">
        <f aca="false">IF($A405&lt;&gt;"Seçildi","",IF(OR($G405="",$I405="",$M405=""),"",IF(SUMPRODUCT(($A$7:$A$456="Seçildi")*($G$7:$G$456=$G405)*($I$7:$I$456=$I405)*(ROW($A$7:$A$456)&lt;&gt;405)*($M$7:$M$456&lt;=$N405)*($N$7:$N$456&gt;=$M405))&gt;0,"⚠ Çakışma","OK")))</f>
        <v/>
      </c>
      <c r="Q405" s="33" t="str">
        <f aca="false">IF($A405&lt;&gt;"Seçildi","",IF(OR($L405="",$I405="",$M405=""),"",IF(SUMPRODUCT(($A$7:$A$456="Seçildi")*($L$7:$L$456=$L405)*($I$7:$I$456=$I405)*(ROW($A$7:$A$456)&lt;&gt;405)*($M$7:$M$456&lt;=$N405)*($N$7:$N$456&gt;=$M405))&gt;0,"⚠ Çakışma","OK")))</f>
        <v/>
      </c>
      <c r="R405" s="33" t="str">
        <f aca="false">IF($A405&lt;&gt;"Seçildi","",IF(OR($D405="",$I405="",$M405=""),"",IF(SUMPRODUCT(($A$7:$A$456="Seçildi")*($D$7:$D$456=$D405)*($I$7:$I$456=$I405)*(ROW($A$7:$A$456)&lt;&gt;405)*($M$7:$M$456&lt;=$N405)*($N$7:$N$456&gt;=$M405))&gt;0,"⚠ Çakışma","OK")))</f>
        <v/>
      </c>
      <c r="S405" s="33"/>
      <c r="T405" s="33" t="str">
        <f aca="false">IF(OR($A405&lt;&gt;"Seçildi",AND($I405="",$J405="")),"",IF(OR($O405&lt;&gt;"",$P405="⚠ Çakışma",$Q405="⚠ Çakışma",$R405="⚠ Çakışma"),"⚠ Kontrol Et","✓ Uygun"))</f>
        <v/>
      </c>
    </row>
    <row r="406" customFormat="false" ht="13.5" hidden="false" customHeight="true" outlineLevel="0" collapsed="false">
      <c r="A406" s="37" t="n">
        <f aca="false">'1-Ders Havuzu'!K136</f>
        <v>0</v>
      </c>
      <c r="B406" s="37" t="str">
        <f aca="false">IF($A406="Seçildi",IF('1-Ders Havuzu'!C136="","",'1-Ders Havuzu'!C136),"")</f>
        <v/>
      </c>
      <c r="C406" s="38" t="str">
        <f aca="false">IF($A406="Seçildi",IF('1-Ders Havuzu'!D136="","",'1-Ders Havuzu'!D136),"")</f>
        <v/>
      </c>
      <c r="D406" s="37" t="str">
        <f aca="false">IF($A406="Seçildi",IF('1-Ders Havuzu'!B136="","",'1-Ders Havuzu'!B136),"")</f>
        <v/>
      </c>
      <c r="E406" s="37" t="str">
        <f aca="false">IF($A406="Seçildi",IF('1-Ders Havuzu'!A136="","",'1-Ders Havuzu'!A136),"")</f>
        <v/>
      </c>
      <c r="F406" s="37" t="str">
        <f aca="false">IF($A406="Seçildi",IF('1-Ders Havuzu'!H136="","",'1-Ders Havuzu'!H136),"")</f>
        <v/>
      </c>
      <c r="G406" s="37" t="str">
        <f aca="false">IF($A406="Seçildi",IF('2-Ders-Öğr.Elemanı Eşleştirme'!H136="","",'2-Ders-Öğr.Elemanı Eşleştirme'!H136),"")</f>
        <v/>
      </c>
      <c r="H406" s="39" t="n">
        <v>1</v>
      </c>
      <c r="I406" s="36"/>
      <c r="J406" s="36"/>
      <c r="K406" s="36"/>
      <c r="L406" s="36"/>
      <c r="M406" s="37" t="str">
        <f aca="false">IF($J406="","",MATCH($J406,{"08.00";"09.00";"10.00";"11.00";"12.00";"13.00";"14.00";"15.00";"16.00";"17.00"},0))</f>
        <v/>
      </c>
      <c r="N406" s="37" t="str">
        <f aca="false">IF(OR($M406="",$K406=""),"",$M406+$K406-1)</f>
        <v/>
      </c>
      <c r="O406" s="37" t="str">
        <f aca="false">IF($A406&lt;&gt;"Seçildi","",IF(OR($M406="",$N406=""),"",IF($N406&gt;10,"⚠ Saat Taşıyor","")))</f>
        <v/>
      </c>
      <c r="P406" s="37" t="str">
        <f aca="false">IF($A406&lt;&gt;"Seçildi","",IF(OR($G406="",$I406="",$M406=""),"",IF(SUMPRODUCT(($A$7:$A$456="Seçildi")*($G$7:$G$456=$G406)*($I$7:$I$456=$I406)*(ROW($A$7:$A$456)&lt;&gt;406)*($M$7:$M$456&lt;=$N406)*($N$7:$N$456&gt;=$M406))&gt;0,"⚠ Çakışma","OK")))</f>
        <v/>
      </c>
      <c r="Q406" s="37" t="str">
        <f aca="false">IF($A406&lt;&gt;"Seçildi","",IF(OR($L406="",$I406="",$M406=""),"",IF(SUMPRODUCT(($A$7:$A$456="Seçildi")*($L$7:$L$456=$L406)*($I$7:$I$456=$I406)*(ROW($A$7:$A$456)&lt;&gt;406)*($M$7:$M$456&lt;=$N406)*($N$7:$N$456&gt;=$M406))&gt;0,"⚠ Çakışma","OK")))</f>
        <v/>
      </c>
      <c r="R406" s="37" t="str">
        <f aca="false">IF($A406&lt;&gt;"Seçildi","",IF(OR($D406="",$I406="",$M406=""),"",IF(SUMPRODUCT(($A$7:$A$456="Seçildi")*($D$7:$D$456=$D406)*($I$7:$I$456=$I406)*(ROW($A$7:$A$456)&lt;&gt;406)*($M$7:$M$456&lt;=$N406)*($N$7:$N$456&gt;=$M406))&gt;0,"⚠ Çakışma","OK")))</f>
        <v/>
      </c>
      <c r="S406" s="37" t="str">
        <f aca="false">IF($A406&lt;&gt;"Seçildi","",IF(SUM($K406,$K407,$K408)&lt;&gt;$F406,"⚠ Dağılım: "&amp;SUM($K406:$K408)&amp;"/"&amp;$F406&amp;" saat","✓ Tamam"))</f>
        <v/>
      </c>
      <c r="T406" s="37" t="str">
        <f aca="false">IF($A406&lt;&gt;"Seçildi","",IF(OR($O406&lt;&gt;"",$P406="⚠ Çakışma",$Q406="⚠ Çakışma",$R406="⚠ Çakışma",LEFT($S406&amp;" ",1)="⚠"),"⚠ Kontrol Et","✓ Uygun"))</f>
        <v/>
      </c>
    </row>
    <row r="407" customFormat="false" ht="13.5" hidden="false" customHeight="true" outlineLevel="0" collapsed="false">
      <c r="A407" s="37" t="n">
        <f aca="false">'1-Ders Havuzu'!K136</f>
        <v>0</v>
      </c>
      <c r="B407" s="37" t="str">
        <f aca="false">IF($A407="Seçildi",IF('1-Ders Havuzu'!C136="","",'1-Ders Havuzu'!C136),"")</f>
        <v/>
      </c>
      <c r="C407" s="38" t="str">
        <f aca="false">IF($A407="Seçildi",IF('1-Ders Havuzu'!D136="","",'1-Ders Havuzu'!D136),"")</f>
        <v/>
      </c>
      <c r="D407" s="37" t="str">
        <f aca="false">IF($A407="Seçildi",IF('1-Ders Havuzu'!B136="","",'1-Ders Havuzu'!B136),"")</f>
        <v/>
      </c>
      <c r="E407" s="37" t="str">
        <f aca="false">IF($A407="Seçildi",IF('1-Ders Havuzu'!A136="","",'1-Ders Havuzu'!A136),"")</f>
        <v/>
      </c>
      <c r="F407" s="37" t="str">
        <f aca="false">IF($A407="Seçildi",IF('1-Ders Havuzu'!H136="","",'1-Ders Havuzu'!H136),"")</f>
        <v/>
      </c>
      <c r="G407" s="37" t="str">
        <f aca="false">IF($A407="Seçildi",IF('2-Ders-Öğr.Elemanı Eşleştirme'!H136="","",'2-Ders-Öğr.Elemanı Eşleştirme'!H136),"")</f>
        <v/>
      </c>
      <c r="H407" s="39" t="n">
        <v>2</v>
      </c>
      <c r="I407" s="36"/>
      <c r="J407" s="36"/>
      <c r="K407" s="36"/>
      <c r="L407" s="36"/>
      <c r="M407" s="37" t="str">
        <f aca="false">IF($J407="","",MATCH($J407,{"08.00";"09.00";"10.00";"11.00";"12.00";"13.00";"14.00";"15.00";"16.00";"17.00"},0))</f>
        <v/>
      </c>
      <c r="N407" s="37" t="str">
        <f aca="false">IF(OR($M407="",$K407=""),"",$M407+$K407-1)</f>
        <v/>
      </c>
      <c r="O407" s="37" t="str">
        <f aca="false">IF($A407&lt;&gt;"Seçildi","",IF(OR($M407="",$N407=""),"",IF($N407&gt;10,"⚠ Saat Taşıyor","")))</f>
        <v/>
      </c>
      <c r="P407" s="37" t="str">
        <f aca="false">IF($A407&lt;&gt;"Seçildi","",IF(OR($G407="",$I407="",$M407=""),"",IF(SUMPRODUCT(($A$7:$A$456="Seçildi")*($G$7:$G$456=$G407)*($I$7:$I$456=$I407)*(ROW($A$7:$A$456)&lt;&gt;407)*($M$7:$M$456&lt;=$N407)*($N$7:$N$456&gt;=$M407))&gt;0,"⚠ Çakışma","OK")))</f>
        <v/>
      </c>
      <c r="Q407" s="37" t="str">
        <f aca="false">IF($A407&lt;&gt;"Seçildi","",IF(OR($L407="",$I407="",$M407=""),"",IF(SUMPRODUCT(($A$7:$A$456="Seçildi")*($L$7:$L$456=$L407)*($I$7:$I$456=$I407)*(ROW($A$7:$A$456)&lt;&gt;407)*($M$7:$M$456&lt;=$N407)*($N$7:$N$456&gt;=$M407))&gt;0,"⚠ Çakışma","OK")))</f>
        <v/>
      </c>
      <c r="R407" s="37" t="str">
        <f aca="false">IF($A407&lt;&gt;"Seçildi","",IF(OR($D407="",$I407="",$M407=""),"",IF(SUMPRODUCT(($A$7:$A$456="Seçildi")*($D$7:$D$456=$D407)*($I$7:$I$456=$I407)*(ROW($A$7:$A$456)&lt;&gt;407)*($M$7:$M$456&lt;=$N407)*($N$7:$N$456&gt;=$M407))&gt;0,"⚠ Çakışma","OK")))</f>
        <v/>
      </c>
      <c r="S407" s="37"/>
      <c r="T407" s="37" t="str">
        <f aca="false">IF(OR($A407&lt;&gt;"Seçildi",AND($I407="",$J407="")),"",IF(OR($O407&lt;&gt;"",$P407="⚠ Çakışma",$Q407="⚠ Çakışma",$R407="⚠ Çakışma"),"⚠ Kontrol Et","✓ Uygun"))</f>
        <v/>
      </c>
    </row>
    <row r="408" customFormat="false" ht="13.5" hidden="false" customHeight="true" outlineLevel="0" collapsed="false">
      <c r="A408" s="37" t="n">
        <f aca="false">'1-Ders Havuzu'!K136</f>
        <v>0</v>
      </c>
      <c r="B408" s="37" t="str">
        <f aca="false">IF($A408="Seçildi",IF('1-Ders Havuzu'!C136="","",'1-Ders Havuzu'!C136),"")</f>
        <v/>
      </c>
      <c r="C408" s="38" t="str">
        <f aca="false">IF($A408="Seçildi",IF('1-Ders Havuzu'!D136="","",'1-Ders Havuzu'!D136),"")</f>
        <v/>
      </c>
      <c r="D408" s="37" t="str">
        <f aca="false">IF($A408="Seçildi",IF('1-Ders Havuzu'!B136="","",'1-Ders Havuzu'!B136),"")</f>
        <v/>
      </c>
      <c r="E408" s="37" t="str">
        <f aca="false">IF($A408="Seçildi",IF('1-Ders Havuzu'!A136="","",'1-Ders Havuzu'!A136),"")</f>
        <v/>
      </c>
      <c r="F408" s="37" t="str">
        <f aca="false">IF($A408="Seçildi",IF('1-Ders Havuzu'!H136="","",'1-Ders Havuzu'!H136),"")</f>
        <v/>
      </c>
      <c r="G408" s="37" t="str">
        <f aca="false">IF($A408="Seçildi",IF('2-Ders-Öğr.Elemanı Eşleştirme'!H136="","",'2-Ders-Öğr.Elemanı Eşleştirme'!H136),"")</f>
        <v/>
      </c>
      <c r="H408" s="39" t="n">
        <v>3</v>
      </c>
      <c r="I408" s="36"/>
      <c r="J408" s="36"/>
      <c r="K408" s="36"/>
      <c r="L408" s="36"/>
      <c r="M408" s="37" t="str">
        <f aca="false">IF($J408="","",MATCH($J408,{"08.00";"09.00";"10.00";"11.00";"12.00";"13.00";"14.00";"15.00";"16.00";"17.00"},0))</f>
        <v/>
      </c>
      <c r="N408" s="37" t="str">
        <f aca="false">IF(OR($M408="",$K408=""),"",$M408+$K408-1)</f>
        <v/>
      </c>
      <c r="O408" s="37" t="str">
        <f aca="false">IF($A408&lt;&gt;"Seçildi","",IF(OR($M408="",$N408=""),"",IF($N408&gt;10,"⚠ Saat Taşıyor","")))</f>
        <v/>
      </c>
      <c r="P408" s="37" t="str">
        <f aca="false">IF($A408&lt;&gt;"Seçildi","",IF(OR($G408="",$I408="",$M408=""),"",IF(SUMPRODUCT(($A$7:$A$456="Seçildi")*($G$7:$G$456=$G408)*($I$7:$I$456=$I408)*(ROW($A$7:$A$456)&lt;&gt;408)*($M$7:$M$456&lt;=$N408)*($N$7:$N$456&gt;=$M408))&gt;0,"⚠ Çakışma","OK")))</f>
        <v/>
      </c>
      <c r="Q408" s="37" t="str">
        <f aca="false">IF($A408&lt;&gt;"Seçildi","",IF(OR($L408="",$I408="",$M408=""),"",IF(SUMPRODUCT(($A$7:$A$456="Seçildi")*($L$7:$L$456=$L408)*($I$7:$I$456=$I408)*(ROW($A$7:$A$456)&lt;&gt;408)*($M$7:$M$456&lt;=$N408)*($N$7:$N$456&gt;=$M408))&gt;0,"⚠ Çakışma","OK")))</f>
        <v/>
      </c>
      <c r="R408" s="37" t="str">
        <f aca="false">IF($A408&lt;&gt;"Seçildi","",IF(OR($D408="",$I408="",$M408=""),"",IF(SUMPRODUCT(($A$7:$A$456="Seçildi")*($D$7:$D$456=$D408)*($I$7:$I$456=$I408)*(ROW($A$7:$A$456)&lt;&gt;408)*($M$7:$M$456&lt;=$N408)*($N$7:$N$456&gt;=$M408))&gt;0,"⚠ Çakışma","OK")))</f>
        <v/>
      </c>
      <c r="S408" s="37"/>
      <c r="T408" s="37" t="str">
        <f aca="false">IF(OR($A408&lt;&gt;"Seçildi",AND($I408="",$J408="")),"",IF(OR($O408&lt;&gt;"",$P408="⚠ Çakışma",$Q408="⚠ Çakışma",$R408="⚠ Çakışma"),"⚠ Kontrol Et","✓ Uygun"))</f>
        <v/>
      </c>
    </row>
    <row r="409" customFormat="false" ht="13.5" hidden="false" customHeight="true" outlineLevel="0" collapsed="false">
      <c r="A409" s="33" t="n">
        <f aca="false">'1-Ders Havuzu'!K137</f>
        <v>0</v>
      </c>
      <c r="B409" s="33" t="str">
        <f aca="false">IF($A409="Seçildi",IF('1-Ders Havuzu'!C137="","",'1-Ders Havuzu'!C137),"")</f>
        <v/>
      </c>
      <c r="C409" s="34" t="str">
        <f aca="false">IF($A409="Seçildi",IF('1-Ders Havuzu'!D137="","",'1-Ders Havuzu'!D137),"")</f>
        <v/>
      </c>
      <c r="D409" s="33" t="str">
        <f aca="false">IF($A409="Seçildi",IF('1-Ders Havuzu'!B137="","",'1-Ders Havuzu'!B137),"")</f>
        <v/>
      </c>
      <c r="E409" s="33" t="str">
        <f aca="false">IF($A409="Seçildi",IF('1-Ders Havuzu'!A137="","",'1-Ders Havuzu'!A137),"")</f>
        <v/>
      </c>
      <c r="F409" s="33" t="str">
        <f aca="false">IF($A409="Seçildi",IF('1-Ders Havuzu'!H137="","",'1-Ders Havuzu'!H137),"")</f>
        <v/>
      </c>
      <c r="G409" s="33" t="str">
        <f aca="false">IF($A409="Seçildi",IF('2-Ders-Öğr.Elemanı Eşleştirme'!H137="","",'2-Ders-Öğr.Elemanı Eşleştirme'!H137),"")</f>
        <v/>
      </c>
      <c r="H409" s="35" t="n">
        <v>1</v>
      </c>
      <c r="I409" s="36"/>
      <c r="J409" s="36"/>
      <c r="K409" s="36"/>
      <c r="L409" s="36"/>
      <c r="M409" s="33" t="str">
        <f aca="false">IF($J409="","",MATCH($J409,{"08.00";"09.00";"10.00";"11.00";"12.00";"13.00";"14.00";"15.00";"16.00";"17.00"},0))</f>
        <v/>
      </c>
      <c r="N409" s="33" t="str">
        <f aca="false">IF(OR($M409="",$K409=""),"",$M409+$K409-1)</f>
        <v/>
      </c>
      <c r="O409" s="33" t="str">
        <f aca="false">IF($A409&lt;&gt;"Seçildi","",IF(OR($M409="",$N409=""),"",IF($N409&gt;10,"⚠ Saat Taşıyor","")))</f>
        <v/>
      </c>
      <c r="P409" s="33" t="str">
        <f aca="false">IF($A409&lt;&gt;"Seçildi","",IF(OR($G409="",$I409="",$M409=""),"",IF(SUMPRODUCT(($A$7:$A$456="Seçildi")*($G$7:$G$456=$G409)*($I$7:$I$456=$I409)*(ROW($A$7:$A$456)&lt;&gt;409)*($M$7:$M$456&lt;=$N409)*($N$7:$N$456&gt;=$M409))&gt;0,"⚠ Çakışma","OK")))</f>
        <v/>
      </c>
      <c r="Q409" s="33" t="str">
        <f aca="false">IF($A409&lt;&gt;"Seçildi","",IF(OR($L409="",$I409="",$M409=""),"",IF(SUMPRODUCT(($A$7:$A$456="Seçildi")*($L$7:$L$456=$L409)*($I$7:$I$456=$I409)*(ROW($A$7:$A$456)&lt;&gt;409)*($M$7:$M$456&lt;=$N409)*($N$7:$N$456&gt;=$M409))&gt;0,"⚠ Çakışma","OK")))</f>
        <v/>
      </c>
      <c r="R409" s="33" t="str">
        <f aca="false">IF($A409&lt;&gt;"Seçildi","",IF(OR($D409="",$I409="",$M409=""),"",IF(SUMPRODUCT(($A$7:$A$456="Seçildi")*($D$7:$D$456=$D409)*($I$7:$I$456=$I409)*(ROW($A$7:$A$456)&lt;&gt;409)*($M$7:$M$456&lt;=$N409)*($N$7:$N$456&gt;=$M409))&gt;0,"⚠ Çakışma","OK")))</f>
        <v/>
      </c>
      <c r="S409" s="33" t="str">
        <f aca="false">IF($A409&lt;&gt;"Seçildi","",IF(SUM($K409,$K410,$K411)&lt;&gt;$F409,"⚠ Dağılım: "&amp;SUM($K409:$K411)&amp;"/"&amp;$F409&amp;" saat","✓ Tamam"))</f>
        <v/>
      </c>
      <c r="T409" s="33" t="str">
        <f aca="false">IF($A409&lt;&gt;"Seçildi","",IF(OR($O409&lt;&gt;"",$P409="⚠ Çakışma",$Q409="⚠ Çakışma",$R409="⚠ Çakışma",LEFT($S409&amp;" ",1)="⚠"),"⚠ Kontrol Et","✓ Uygun"))</f>
        <v/>
      </c>
    </row>
    <row r="410" customFormat="false" ht="13.5" hidden="false" customHeight="true" outlineLevel="0" collapsed="false">
      <c r="A410" s="33" t="n">
        <f aca="false">'1-Ders Havuzu'!K137</f>
        <v>0</v>
      </c>
      <c r="B410" s="33" t="str">
        <f aca="false">IF($A410="Seçildi",IF('1-Ders Havuzu'!C137="","",'1-Ders Havuzu'!C137),"")</f>
        <v/>
      </c>
      <c r="C410" s="34" t="str">
        <f aca="false">IF($A410="Seçildi",IF('1-Ders Havuzu'!D137="","",'1-Ders Havuzu'!D137),"")</f>
        <v/>
      </c>
      <c r="D410" s="33" t="str">
        <f aca="false">IF($A410="Seçildi",IF('1-Ders Havuzu'!B137="","",'1-Ders Havuzu'!B137),"")</f>
        <v/>
      </c>
      <c r="E410" s="33" t="str">
        <f aca="false">IF($A410="Seçildi",IF('1-Ders Havuzu'!A137="","",'1-Ders Havuzu'!A137),"")</f>
        <v/>
      </c>
      <c r="F410" s="33" t="str">
        <f aca="false">IF($A410="Seçildi",IF('1-Ders Havuzu'!H137="","",'1-Ders Havuzu'!H137),"")</f>
        <v/>
      </c>
      <c r="G410" s="33" t="str">
        <f aca="false">IF($A410="Seçildi",IF('2-Ders-Öğr.Elemanı Eşleştirme'!H137="","",'2-Ders-Öğr.Elemanı Eşleştirme'!H137),"")</f>
        <v/>
      </c>
      <c r="H410" s="35" t="n">
        <v>2</v>
      </c>
      <c r="I410" s="36"/>
      <c r="J410" s="36"/>
      <c r="K410" s="36"/>
      <c r="L410" s="36"/>
      <c r="M410" s="33" t="str">
        <f aca="false">IF($J410="","",MATCH($J410,{"08.00";"09.00";"10.00";"11.00";"12.00";"13.00";"14.00";"15.00";"16.00";"17.00"},0))</f>
        <v/>
      </c>
      <c r="N410" s="33" t="str">
        <f aca="false">IF(OR($M410="",$K410=""),"",$M410+$K410-1)</f>
        <v/>
      </c>
      <c r="O410" s="33" t="str">
        <f aca="false">IF($A410&lt;&gt;"Seçildi","",IF(OR($M410="",$N410=""),"",IF($N410&gt;10,"⚠ Saat Taşıyor","")))</f>
        <v/>
      </c>
      <c r="P410" s="33" t="str">
        <f aca="false">IF($A410&lt;&gt;"Seçildi","",IF(OR($G410="",$I410="",$M410=""),"",IF(SUMPRODUCT(($A$7:$A$456="Seçildi")*($G$7:$G$456=$G410)*($I$7:$I$456=$I410)*(ROW($A$7:$A$456)&lt;&gt;410)*($M$7:$M$456&lt;=$N410)*($N$7:$N$456&gt;=$M410))&gt;0,"⚠ Çakışma","OK")))</f>
        <v/>
      </c>
      <c r="Q410" s="33" t="str">
        <f aca="false">IF($A410&lt;&gt;"Seçildi","",IF(OR($L410="",$I410="",$M410=""),"",IF(SUMPRODUCT(($A$7:$A$456="Seçildi")*($L$7:$L$456=$L410)*($I$7:$I$456=$I410)*(ROW($A$7:$A$456)&lt;&gt;410)*($M$7:$M$456&lt;=$N410)*($N$7:$N$456&gt;=$M410))&gt;0,"⚠ Çakışma","OK")))</f>
        <v/>
      </c>
      <c r="R410" s="33" t="str">
        <f aca="false">IF($A410&lt;&gt;"Seçildi","",IF(OR($D410="",$I410="",$M410=""),"",IF(SUMPRODUCT(($A$7:$A$456="Seçildi")*($D$7:$D$456=$D410)*($I$7:$I$456=$I410)*(ROW($A$7:$A$456)&lt;&gt;410)*($M$7:$M$456&lt;=$N410)*($N$7:$N$456&gt;=$M410))&gt;0,"⚠ Çakışma","OK")))</f>
        <v/>
      </c>
      <c r="S410" s="33"/>
      <c r="T410" s="33" t="str">
        <f aca="false">IF(OR($A410&lt;&gt;"Seçildi",AND($I410="",$J410="")),"",IF(OR($O410&lt;&gt;"",$P410="⚠ Çakışma",$Q410="⚠ Çakışma",$R410="⚠ Çakışma"),"⚠ Kontrol Et","✓ Uygun"))</f>
        <v/>
      </c>
    </row>
    <row r="411" customFormat="false" ht="13.5" hidden="false" customHeight="true" outlineLevel="0" collapsed="false">
      <c r="A411" s="33" t="n">
        <f aca="false">'1-Ders Havuzu'!K137</f>
        <v>0</v>
      </c>
      <c r="B411" s="33" t="str">
        <f aca="false">IF($A411="Seçildi",IF('1-Ders Havuzu'!C137="","",'1-Ders Havuzu'!C137),"")</f>
        <v/>
      </c>
      <c r="C411" s="34" t="str">
        <f aca="false">IF($A411="Seçildi",IF('1-Ders Havuzu'!D137="","",'1-Ders Havuzu'!D137),"")</f>
        <v/>
      </c>
      <c r="D411" s="33" t="str">
        <f aca="false">IF($A411="Seçildi",IF('1-Ders Havuzu'!B137="","",'1-Ders Havuzu'!B137),"")</f>
        <v/>
      </c>
      <c r="E411" s="33" t="str">
        <f aca="false">IF($A411="Seçildi",IF('1-Ders Havuzu'!A137="","",'1-Ders Havuzu'!A137),"")</f>
        <v/>
      </c>
      <c r="F411" s="33" t="str">
        <f aca="false">IF($A411="Seçildi",IF('1-Ders Havuzu'!H137="","",'1-Ders Havuzu'!H137),"")</f>
        <v/>
      </c>
      <c r="G411" s="33" t="str">
        <f aca="false">IF($A411="Seçildi",IF('2-Ders-Öğr.Elemanı Eşleştirme'!H137="","",'2-Ders-Öğr.Elemanı Eşleştirme'!H137),"")</f>
        <v/>
      </c>
      <c r="H411" s="35" t="n">
        <v>3</v>
      </c>
      <c r="I411" s="36"/>
      <c r="J411" s="36"/>
      <c r="K411" s="36"/>
      <c r="L411" s="36"/>
      <c r="M411" s="33" t="str">
        <f aca="false">IF($J411="","",MATCH($J411,{"08.00";"09.00";"10.00";"11.00";"12.00";"13.00";"14.00";"15.00";"16.00";"17.00"},0))</f>
        <v/>
      </c>
      <c r="N411" s="33" t="str">
        <f aca="false">IF(OR($M411="",$K411=""),"",$M411+$K411-1)</f>
        <v/>
      </c>
      <c r="O411" s="33" t="str">
        <f aca="false">IF($A411&lt;&gt;"Seçildi","",IF(OR($M411="",$N411=""),"",IF($N411&gt;10,"⚠ Saat Taşıyor","")))</f>
        <v/>
      </c>
      <c r="P411" s="33" t="str">
        <f aca="false">IF($A411&lt;&gt;"Seçildi","",IF(OR($G411="",$I411="",$M411=""),"",IF(SUMPRODUCT(($A$7:$A$456="Seçildi")*($G$7:$G$456=$G411)*($I$7:$I$456=$I411)*(ROW($A$7:$A$456)&lt;&gt;411)*($M$7:$M$456&lt;=$N411)*($N$7:$N$456&gt;=$M411))&gt;0,"⚠ Çakışma","OK")))</f>
        <v/>
      </c>
      <c r="Q411" s="33" t="str">
        <f aca="false">IF($A411&lt;&gt;"Seçildi","",IF(OR($L411="",$I411="",$M411=""),"",IF(SUMPRODUCT(($A$7:$A$456="Seçildi")*($L$7:$L$456=$L411)*($I$7:$I$456=$I411)*(ROW($A$7:$A$456)&lt;&gt;411)*($M$7:$M$456&lt;=$N411)*($N$7:$N$456&gt;=$M411))&gt;0,"⚠ Çakışma","OK")))</f>
        <v/>
      </c>
      <c r="R411" s="33" t="str">
        <f aca="false">IF($A411&lt;&gt;"Seçildi","",IF(OR($D411="",$I411="",$M411=""),"",IF(SUMPRODUCT(($A$7:$A$456="Seçildi")*($D$7:$D$456=$D411)*($I$7:$I$456=$I411)*(ROW($A$7:$A$456)&lt;&gt;411)*($M$7:$M$456&lt;=$N411)*($N$7:$N$456&gt;=$M411))&gt;0,"⚠ Çakışma","OK")))</f>
        <v/>
      </c>
      <c r="S411" s="33"/>
      <c r="T411" s="33" t="str">
        <f aca="false">IF(OR($A411&lt;&gt;"Seçildi",AND($I411="",$J411="")),"",IF(OR($O411&lt;&gt;"",$P411="⚠ Çakışma",$Q411="⚠ Çakışma",$R411="⚠ Çakışma"),"⚠ Kontrol Et","✓ Uygun"))</f>
        <v/>
      </c>
    </row>
    <row r="412" customFormat="false" ht="13.5" hidden="false" customHeight="true" outlineLevel="0" collapsed="false">
      <c r="A412" s="37" t="n">
        <f aca="false">'1-Ders Havuzu'!K138</f>
        <v>0</v>
      </c>
      <c r="B412" s="37" t="str">
        <f aca="false">IF($A412="Seçildi",IF('1-Ders Havuzu'!C138="","",'1-Ders Havuzu'!C138),"")</f>
        <v/>
      </c>
      <c r="C412" s="38" t="str">
        <f aca="false">IF($A412="Seçildi",IF('1-Ders Havuzu'!D138="","",'1-Ders Havuzu'!D138),"")</f>
        <v/>
      </c>
      <c r="D412" s="37" t="str">
        <f aca="false">IF($A412="Seçildi",IF('1-Ders Havuzu'!B138="","",'1-Ders Havuzu'!B138),"")</f>
        <v/>
      </c>
      <c r="E412" s="37" t="str">
        <f aca="false">IF($A412="Seçildi",IF('1-Ders Havuzu'!A138="","",'1-Ders Havuzu'!A138),"")</f>
        <v/>
      </c>
      <c r="F412" s="37" t="str">
        <f aca="false">IF($A412="Seçildi",IF('1-Ders Havuzu'!H138="","",'1-Ders Havuzu'!H138),"")</f>
        <v/>
      </c>
      <c r="G412" s="37" t="str">
        <f aca="false">IF($A412="Seçildi",IF('2-Ders-Öğr.Elemanı Eşleştirme'!H138="","",'2-Ders-Öğr.Elemanı Eşleştirme'!H138),"")</f>
        <v/>
      </c>
      <c r="H412" s="39" t="n">
        <v>1</v>
      </c>
      <c r="I412" s="36"/>
      <c r="J412" s="36"/>
      <c r="K412" s="36"/>
      <c r="L412" s="36"/>
      <c r="M412" s="37" t="str">
        <f aca="false">IF($J412="","",MATCH($J412,{"08.00";"09.00";"10.00";"11.00";"12.00";"13.00";"14.00";"15.00";"16.00";"17.00"},0))</f>
        <v/>
      </c>
      <c r="N412" s="37" t="str">
        <f aca="false">IF(OR($M412="",$K412=""),"",$M412+$K412-1)</f>
        <v/>
      </c>
      <c r="O412" s="37" t="str">
        <f aca="false">IF($A412&lt;&gt;"Seçildi","",IF(OR($M412="",$N412=""),"",IF($N412&gt;10,"⚠ Saat Taşıyor","")))</f>
        <v/>
      </c>
      <c r="P412" s="37" t="str">
        <f aca="false">IF($A412&lt;&gt;"Seçildi","",IF(OR($G412="",$I412="",$M412=""),"",IF(SUMPRODUCT(($A$7:$A$456="Seçildi")*($G$7:$G$456=$G412)*($I$7:$I$456=$I412)*(ROW($A$7:$A$456)&lt;&gt;412)*($M$7:$M$456&lt;=$N412)*($N$7:$N$456&gt;=$M412))&gt;0,"⚠ Çakışma","OK")))</f>
        <v/>
      </c>
      <c r="Q412" s="37" t="str">
        <f aca="false">IF($A412&lt;&gt;"Seçildi","",IF(OR($L412="",$I412="",$M412=""),"",IF(SUMPRODUCT(($A$7:$A$456="Seçildi")*($L$7:$L$456=$L412)*($I$7:$I$456=$I412)*(ROW($A$7:$A$456)&lt;&gt;412)*($M$7:$M$456&lt;=$N412)*($N$7:$N$456&gt;=$M412))&gt;0,"⚠ Çakışma","OK")))</f>
        <v/>
      </c>
      <c r="R412" s="37" t="str">
        <f aca="false">IF($A412&lt;&gt;"Seçildi","",IF(OR($D412="",$I412="",$M412=""),"",IF(SUMPRODUCT(($A$7:$A$456="Seçildi")*($D$7:$D$456=$D412)*($I$7:$I$456=$I412)*(ROW($A$7:$A$456)&lt;&gt;412)*($M$7:$M$456&lt;=$N412)*($N$7:$N$456&gt;=$M412))&gt;0,"⚠ Çakışma","OK")))</f>
        <v/>
      </c>
      <c r="S412" s="37" t="str">
        <f aca="false">IF($A412&lt;&gt;"Seçildi","",IF(SUM($K412,$K413,$K414)&lt;&gt;$F412,"⚠ Dağılım: "&amp;SUM($K412:$K414)&amp;"/"&amp;$F412&amp;" saat","✓ Tamam"))</f>
        <v/>
      </c>
      <c r="T412" s="37" t="str">
        <f aca="false">IF($A412&lt;&gt;"Seçildi","",IF(OR($O412&lt;&gt;"",$P412="⚠ Çakışma",$Q412="⚠ Çakışma",$R412="⚠ Çakışma",LEFT($S412&amp;" ",1)="⚠"),"⚠ Kontrol Et","✓ Uygun"))</f>
        <v/>
      </c>
    </row>
    <row r="413" customFormat="false" ht="13.5" hidden="false" customHeight="true" outlineLevel="0" collapsed="false">
      <c r="A413" s="37" t="n">
        <f aca="false">'1-Ders Havuzu'!K138</f>
        <v>0</v>
      </c>
      <c r="B413" s="37" t="str">
        <f aca="false">IF($A413="Seçildi",IF('1-Ders Havuzu'!C138="","",'1-Ders Havuzu'!C138),"")</f>
        <v/>
      </c>
      <c r="C413" s="38" t="str">
        <f aca="false">IF($A413="Seçildi",IF('1-Ders Havuzu'!D138="","",'1-Ders Havuzu'!D138),"")</f>
        <v/>
      </c>
      <c r="D413" s="37" t="str">
        <f aca="false">IF($A413="Seçildi",IF('1-Ders Havuzu'!B138="","",'1-Ders Havuzu'!B138),"")</f>
        <v/>
      </c>
      <c r="E413" s="37" t="str">
        <f aca="false">IF($A413="Seçildi",IF('1-Ders Havuzu'!A138="","",'1-Ders Havuzu'!A138),"")</f>
        <v/>
      </c>
      <c r="F413" s="37" t="str">
        <f aca="false">IF($A413="Seçildi",IF('1-Ders Havuzu'!H138="","",'1-Ders Havuzu'!H138),"")</f>
        <v/>
      </c>
      <c r="G413" s="37" t="str">
        <f aca="false">IF($A413="Seçildi",IF('2-Ders-Öğr.Elemanı Eşleştirme'!H138="","",'2-Ders-Öğr.Elemanı Eşleştirme'!H138),"")</f>
        <v/>
      </c>
      <c r="H413" s="39" t="n">
        <v>2</v>
      </c>
      <c r="I413" s="36"/>
      <c r="J413" s="36"/>
      <c r="K413" s="36"/>
      <c r="L413" s="36"/>
      <c r="M413" s="37" t="str">
        <f aca="false">IF($J413="","",MATCH($J413,{"08.00";"09.00";"10.00";"11.00";"12.00";"13.00";"14.00";"15.00";"16.00";"17.00"},0))</f>
        <v/>
      </c>
      <c r="N413" s="37" t="str">
        <f aca="false">IF(OR($M413="",$K413=""),"",$M413+$K413-1)</f>
        <v/>
      </c>
      <c r="O413" s="37" t="str">
        <f aca="false">IF($A413&lt;&gt;"Seçildi","",IF(OR($M413="",$N413=""),"",IF($N413&gt;10,"⚠ Saat Taşıyor","")))</f>
        <v/>
      </c>
      <c r="P413" s="37" t="str">
        <f aca="false">IF($A413&lt;&gt;"Seçildi","",IF(OR($G413="",$I413="",$M413=""),"",IF(SUMPRODUCT(($A$7:$A$456="Seçildi")*($G$7:$G$456=$G413)*($I$7:$I$456=$I413)*(ROW($A$7:$A$456)&lt;&gt;413)*($M$7:$M$456&lt;=$N413)*($N$7:$N$456&gt;=$M413))&gt;0,"⚠ Çakışma","OK")))</f>
        <v/>
      </c>
      <c r="Q413" s="37" t="str">
        <f aca="false">IF($A413&lt;&gt;"Seçildi","",IF(OR($L413="",$I413="",$M413=""),"",IF(SUMPRODUCT(($A$7:$A$456="Seçildi")*($L$7:$L$456=$L413)*($I$7:$I$456=$I413)*(ROW($A$7:$A$456)&lt;&gt;413)*($M$7:$M$456&lt;=$N413)*($N$7:$N$456&gt;=$M413))&gt;0,"⚠ Çakışma","OK")))</f>
        <v/>
      </c>
      <c r="R413" s="37" t="str">
        <f aca="false">IF($A413&lt;&gt;"Seçildi","",IF(OR($D413="",$I413="",$M413=""),"",IF(SUMPRODUCT(($A$7:$A$456="Seçildi")*($D$7:$D$456=$D413)*($I$7:$I$456=$I413)*(ROW($A$7:$A$456)&lt;&gt;413)*($M$7:$M$456&lt;=$N413)*($N$7:$N$456&gt;=$M413))&gt;0,"⚠ Çakışma","OK")))</f>
        <v/>
      </c>
      <c r="S413" s="37"/>
      <c r="T413" s="37" t="str">
        <f aca="false">IF(OR($A413&lt;&gt;"Seçildi",AND($I413="",$J413="")),"",IF(OR($O413&lt;&gt;"",$P413="⚠ Çakışma",$Q413="⚠ Çakışma",$R413="⚠ Çakışma"),"⚠ Kontrol Et","✓ Uygun"))</f>
        <v/>
      </c>
    </row>
    <row r="414" customFormat="false" ht="13.5" hidden="false" customHeight="true" outlineLevel="0" collapsed="false">
      <c r="A414" s="37" t="n">
        <f aca="false">'1-Ders Havuzu'!K138</f>
        <v>0</v>
      </c>
      <c r="B414" s="37" t="str">
        <f aca="false">IF($A414="Seçildi",IF('1-Ders Havuzu'!C138="","",'1-Ders Havuzu'!C138),"")</f>
        <v/>
      </c>
      <c r="C414" s="38" t="str">
        <f aca="false">IF($A414="Seçildi",IF('1-Ders Havuzu'!D138="","",'1-Ders Havuzu'!D138),"")</f>
        <v/>
      </c>
      <c r="D414" s="37" t="str">
        <f aca="false">IF($A414="Seçildi",IF('1-Ders Havuzu'!B138="","",'1-Ders Havuzu'!B138),"")</f>
        <v/>
      </c>
      <c r="E414" s="37" t="str">
        <f aca="false">IF($A414="Seçildi",IF('1-Ders Havuzu'!A138="","",'1-Ders Havuzu'!A138),"")</f>
        <v/>
      </c>
      <c r="F414" s="37" t="str">
        <f aca="false">IF($A414="Seçildi",IF('1-Ders Havuzu'!H138="","",'1-Ders Havuzu'!H138),"")</f>
        <v/>
      </c>
      <c r="G414" s="37" t="str">
        <f aca="false">IF($A414="Seçildi",IF('2-Ders-Öğr.Elemanı Eşleştirme'!H138="","",'2-Ders-Öğr.Elemanı Eşleştirme'!H138),"")</f>
        <v/>
      </c>
      <c r="H414" s="39" t="n">
        <v>3</v>
      </c>
      <c r="I414" s="36"/>
      <c r="J414" s="36"/>
      <c r="K414" s="36"/>
      <c r="L414" s="36"/>
      <c r="M414" s="37" t="str">
        <f aca="false">IF($J414="","",MATCH($J414,{"08.00";"09.00";"10.00";"11.00";"12.00";"13.00";"14.00";"15.00";"16.00";"17.00"},0))</f>
        <v/>
      </c>
      <c r="N414" s="37" t="str">
        <f aca="false">IF(OR($M414="",$K414=""),"",$M414+$K414-1)</f>
        <v/>
      </c>
      <c r="O414" s="37" t="str">
        <f aca="false">IF($A414&lt;&gt;"Seçildi","",IF(OR($M414="",$N414=""),"",IF($N414&gt;10,"⚠ Saat Taşıyor","")))</f>
        <v/>
      </c>
      <c r="P414" s="37" t="str">
        <f aca="false">IF($A414&lt;&gt;"Seçildi","",IF(OR($G414="",$I414="",$M414=""),"",IF(SUMPRODUCT(($A$7:$A$456="Seçildi")*($G$7:$G$456=$G414)*($I$7:$I$456=$I414)*(ROW($A$7:$A$456)&lt;&gt;414)*($M$7:$M$456&lt;=$N414)*($N$7:$N$456&gt;=$M414))&gt;0,"⚠ Çakışma","OK")))</f>
        <v/>
      </c>
      <c r="Q414" s="37" t="str">
        <f aca="false">IF($A414&lt;&gt;"Seçildi","",IF(OR($L414="",$I414="",$M414=""),"",IF(SUMPRODUCT(($A$7:$A$456="Seçildi")*($L$7:$L$456=$L414)*($I$7:$I$456=$I414)*(ROW($A$7:$A$456)&lt;&gt;414)*($M$7:$M$456&lt;=$N414)*($N$7:$N$456&gt;=$M414))&gt;0,"⚠ Çakışma","OK")))</f>
        <v/>
      </c>
      <c r="R414" s="37" t="str">
        <f aca="false">IF($A414&lt;&gt;"Seçildi","",IF(OR($D414="",$I414="",$M414=""),"",IF(SUMPRODUCT(($A$7:$A$456="Seçildi")*($D$7:$D$456=$D414)*($I$7:$I$456=$I414)*(ROW($A$7:$A$456)&lt;&gt;414)*($M$7:$M$456&lt;=$N414)*($N$7:$N$456&gt;=$M414))&gt;0,"⚠ Çakışma","OK")))</f>
        <v/>
      </c>
      <c r="S414" s="37"/>
      <c r="T414" s="37" t="str">
        <f aca="false">IF(OR($A414&lt;&gt;"Seçildi",AND($I414="",$J414="")),"",IF(OR($O414&lt;&gt;"",$P414="⚠ Çakışma",$Q414="⚠ Çakışma",$R414="⚠ Çakışma"),"⚠ Kontrol Et","✓ Uygun"))</f>
        <v/>
      </c>
    </row>
    <row r="415" customFormat="false" ht="13.5" hidden="false" customHeight="true" outlineLevel="0" collapsed="false">
      <c r="A415" s="33" t="n">
        <f aca="false">'1-Ders Havuzu'!K139</f>
        <v>0</v>
      </c>
      <c r="B415" s="33" t="str">
        <f aca="false">IF($A415="Seçildi",IF('1-Ders Havuzu'!C139="","",'1-Ders Havuzu'!C139),"")</f>
        <v/>
      </c>
      <c r="C415" s="34" t="str">
        <f aca="false">IF($A415="Seçildi",IF('1-Ders Havuzu'!D139="","",'1-Ders Havuzu'!D139),"")</f>
        <v/>
      </c>
      <c r="D415" s="33" t="str">
        <f aca="false">IF($A415="Seçildi",IF('1-Ders Havuzu'!B139="","",'1-Ders Havuzu'!B139),"")</f>
        <v/>
      </c>
      <c r="E415" s="33" t="str">
        <f aca="false">IF($A415="Seçildi",IF('1-Ders Havuzu'!A139="","",'1-Ders Havuzu'!A139),"")</f>
        <v/>
      </c>
      <c r="F415" s="33" t="str">
        <f aca="false">IF($A415="Seçildi",IF('1-Ders Havuzu'!H139="","",'1-Ders Havuzu'!H139),"")</f>
        <v/>
      </c>
      <c r="G415" s="33" t="str">
        <f aca="false">IF($A415="Seçildi",IF('2-Ders-Öğr.Elemanı Eşleştirme'!H139="","",'2-Ders-Öğr.Elemanı Eşleştirme'!H139),"")</f>
        <v/>
      </c>
      <c r="H415" s="35" t="n">
        <v>1</v>
      </c>
      <c r="I415" s="36"/>
      <c r="J415" s="36"/>
      <c r="K415" s="36"/>
      <c r="L415" s="36"/>
      <c r="M415" s="33" t="str">
        <f aca="false">IF($J415="","",MATCH($J415,{"08.00";"09.00";"10.00";"11.00";"12.00";"13.00";"14.00";"15.00";"16.00";"17.00"},0))</f>
        <v/>
      </c>
      <c r="N415" s="33" t="str">
        <f aca="false">IF(OR($M415="",$K415=""),"",$M415+$K415-1)</f>
        <v/>
      </c>
      <c r="O415" s="33" t="str">
        <f aca="false">IF($A415&lt;&gt;"Seçildi","",IF(OR($M415="",$N415=""),"",IF($N415&gt;10,"⚠ Saat Taşıyor","")))</f>
        <v/>
      </c>
      <c r="P415" s="33" t="str">
        <f aca="false">IF($A415&lt;&gt;"Seçildi","",IF(OR($G415="",$I415="",$M415=""),"",IF(SUMPRODUCT(($A$7:$A$456="Seçildi")*($G$7:$G$456=$G415)*($I$7:$I$456=$I415)*(ROW($A$7:$A$456)&lt;&gt;415)*($M$7:$M$456&lt;=$N415)*($N$7:$N$456&gt;=$M415))&gt;0,"⚠ Çakışma","OK")))</f>
        <v/>
      </c>
      <c r="Q415" s="33" t="str">
        <f aca="false">IF($A415&lt;&gt;"Seçildi","",IF(OR($L415="",$I415="",$M415=""),"",IF(SUMPRODUCT(($A$7:$A$456="Seçildi")*($L$7:$L$456=$L415)*($I$7:$I$456=$I415)*(ROW($A$7:$A$456)&lt;&gt;415)*($M$7:$M$456&lt;=$N415)*($N$7:$N$456&gt;=$M415))&gt;0,"⚠ Çakışma","OK")))</f>
        <v/>
      </c>
      <c r="R415" s="33" t="str">
        <f aca="false">IF($A415&lt;&gt;"Seçildi","",IF(OR($D415="",$I415="",$M415=""),"",IF(SUMPRODUCT(($A$7:$A$456="Seçildi")*($D$7:$D$456=$D415)*($I$7:$I$456=$I415)*(ROW($A$7:$A$456)&lt;&gt;415)*($M$7:$M$456&lt;=$N415)*($N$7:$N$456&gt;=$M415))&gt;0,"⚠ Çakışma","OK")))</f>
        <v/>
      </c>
      <c r="S415" s="33" t="str">
        <f aca="false">IF($A415&lt;&gt;"Seçildi","",IF(SUM($K415,$K416,$K417)&lt;&gt;$F415,"⚠ Dağılım: "&amp;SUM($K415:$K417)&amp;"/"&amp;$F415&amp;" saat","✓ Tamam"))</f>
        <v/>
      </c>
      <c r="T415" s="33" t="str">
        <f aca="false">IF($A415&lt;&gt;"Seçildi","",IF(OR($O415&lt;&gt;"",$P415="⚠ Çakışma",$Q415="⚠ Çakışma",$R415="⚠ Çakışma",LEFT($S415&amp;" ",1)="⚠"),"⚠ Kontrol Et","✓ Uygun"))</f>
        <v/>
      </c>
    </row>
    <row r="416" customFormat="false" ht="13.5" hidden="false" customHeight="true" outlineLevel="0" collapsed="false">
      <c r="A416" s="33" t="n">
        <f aca="false">'1-Ders Havuzu'!K139</f>
        <v>0</v>
      </c>
      <c r="B416" s="33" t="str">
        <f aca="false">IF($A416="Seçildi",IF('1-Ders Havuzu'!C139="","",'1-Ders Havuzu'!C139),"")</f>
        <v/>
      </c>
      <c r="C416" s="34" t="str">
        <f aca="false">IF($A416="Seçildi",IF('1-Ders Havuzu'!D139="","",'1-Ders Havuzu'!D139),"")</f>
        <v/>
      </c>
      <c r="D416" s="33" t="str">
        <f aca="false">IF($A416="Seçildi",IF('1-Ders Havuzu'!B139="","",'1-Ders Havuzu'!B139),"")</f>
        <v/>
      </c>
      <c r="E416" s="33" t="str">
        <f aca="false">IF($A416="Seçildi",IF('1-Ders Havuzu'!A139="","",'1-Ders Havuzu'!A139),"")</f>
        <v/>
      </c>
      <c r="F416" s="33" t="str">
        <f aca="false">IF($A416="Seçildi",IF('1-Ders Havuzu'!H139="","",'1-Ders Havuzu'!H139),"")</f>
        <v/>
      </c>
      <c r="G416" s="33" t="str">
        <f aca="false">IF($A416="Seçildi",IF('2-Ders-Öğr.Elemanı Eşleştirme'!H139="","",'2-Ders-Öğr.Elemanı Eşleştirme'!H139),"")</f>
        <v/>
      </c>
      <c r="H416" s="35" t="n">
        <v>2</v>
      </c>
      <c r="I416" s="36"/>
      <c r="J416" s="36"/>
      <c r="K416" s="36"/>
      <c r="L416" s="36"/>
      <c r="M416" s="33" t="str">
        <f aca="false">IF($J416="","",MATCH($J416,{"08.00";"09.00";"10.00";"11.00";"12.00";"13.00";"14.00";"15.00";"16.00";"17.00"},0))</f>
        <v/>
      </c>
      <c r="N416" s="33" t="str">
        <f aca="false">IF(OR($M416="",$K416=""),"",$M416+$K416-1)</f>
        <v/>
      </c>
      <c r="O416" s="33" t="str">
        <f aca="false">IF($A416&lt;&gt;"Seçildi","",IF(OR($M416="",$N416=""),"",IF($N416&gt;10,"⚠ Saat Taşıyor","")))</f>
        <v/>
      </c>
      <c r="P416" s="33" t="str">
        <f aca="false">IF($A416&lt;&gt;"Seçildi","",IF(OR($G416="",$I416="",$M416=""),"",IF(SUMPRODUCT(($A$7:$A$456="Seçildi")*($G$7:$G$456=$G416)*($I$7:$I$456=$I416)*(ROW($A$7:$A$456)&lt;&gt;416)*($M$7:$M$456&lt;=$N416)*($N$7:$N$456&gt;=$M416))&gt;0,"⚠ Çakışma","OK")))</f>
        <v/>
      </c>
      <c r="Q416" s="33" t="str">
        <f aca="false">IF($A416&lt;&gt;"Seçildi","",IF(OR($L416="",$I416="",$M416=""),"",IF(SUMPRODUCT(($A$7:$A$456="Seçildi")*($L$7:$L$456=$L416)*($I$7:$I$456=$I416)*(ROW($A$7:$A$456)&lt;&gt;416)*($M$7:$M$456&lt;=$N416)*($N$7:$N$456&gt;=$M416))&gt;0,"⚠ Çakışma","OK")))</f>
        <v/>
      </c>
      <c r="R416" s="33" t="str">
        <f aca="false">IF($A416&lt;&gt;"Seçildi","",IF(OR($D416="",$I416="",$M416=""),"",IF(SUMPRODUCT(($A$7:$A$456="Seçildi")*($D$7:$D$456=$D416)*($I$7:$I$456=$I416)*(ROW($A$7:$A$456)&lt;&gt;416)*($M$7:$M$456&lt;=$N416)*($N$7:$N$456&gt;=$M416))&gt;0,"⚠ Çakışma","OK")))</f>
        <v/>
      </c>
      <c r="S416" s="33"/>
      <c r="T416" s="33" t="str">
        <f aca="false">IF(OR($A416&lt;&gt;"Seçildi",AND($I416="",$J416="")),"",IF(OR($O416&lt;&gt;"",$P416="⚠ Çakışma",$Q416="⚠ Çakışma",$R416="⚠ Çakışma"),"⚠ Kontrol Et","✓ Uygun"))</f>
        <v/>
      </c>
    </row>
    <row r="417" customFormat="false" ht="13.5" hidden="false" customHeight="true" outlineLevel="0" collapsed="false">
      <c r="A417" s="33" t="n">
        <f aca="false">'1-Ders Havuzu'!K139</f>
        <v>0</v>
      </c>
      <c r="B417" s="33" t="str">
        <f aca="false">IF($A417="Seçildi",IF('1-Ders Havuzu'!C139="","",'1-Ders Havuzu'!C139),"")</f>
        <v/>
      </c>
      <c r="C417" s="34" t="str">
        <f aca="false">IF($A417="Seçildi",IF('1-Ders Havuzu'!D139="","",'1-Ders Havuzu'!D139),"")</f>
        <v/>
      </c>
      <c r="D417" s="33" t="str">
        <f aca="false">IF($A417="Seçildi",IF('1-Ders Havuzu'!B139="","",'1-Ders Havuzu'!B139),"")</f>
        <v/>
      </c>
      <c r="E417" s="33" t="str">
        <f aca="false">IF($A417="Seçildi",IF('1-Ders Havuzu'!A139="","",'1-Ders Havuzu'!A139),"")</f>
        <v/>
      </c>
      <c r="F417" s="33" t="str">
        <f aca="false">IF($A417="Seçildi",IF('1-Ders Havuzu'!H139="","",'1-Ders Havuzu'!H139),"")</f>
        <v/>
      </c>
      <c r="G417" s="33" t="str">
        <f aca="false">IF($A417="Seçildi",IF('2-Ders-Öğr.Elemanı Eşleştirme'!H139="","",'2-Ders-Öğr.Elemanı Eşleştirme'!H139),"")</f>
        <v/>
      </c>
      <c r="H417" s="35" t="n">
        <v>3</v>
      </c>
      <c r="I417" s="36"/>
      <c r="J417" s="36"/>
      <c r="K417" s="36"/>
      <c r="L417" s="36"/>
      <c r="M417" s="33" t="str">
        <f aca="false">IF($J417="","",MATCH($J417,{"08.00";"09.00";"10.00";"11.00";"12.00";"13.00";"14.00";"15.00";"16.00";"17.00"},0))</f>
        <v/>
      </c>
      <c r="N417" s="33" t="str">
        <f aca="false">IF(OR($M417="",$K417=""),"",$M417+$K417-1)</f>
        <v/>
      </c>
      <c r="O417" s="33" t="str">
        <f aca="false">IF($A417&lt;&gt;"Seçildi","",IF(OR($M417="",$N417=""),"",IF($N417&gt;10,"⚠ Saat Taşıyor","")))</f>
        <v/>
      </c>
      <c r="P417" s="33" t="str">
        <f aca="false">IF($A417&lt;&gt;"Seçildi","",IF(OR($G417="",$I417="",$M417=""),"",IF(SUMPRODUCT(($A$7:$A$456="Seçildi")*($G$7:$G$456=$G417)*($I$7:$I$456=$I417)*(ROW($A$7:$A$456)&lt;&gt;417)*($M$7:$M$456&lt;=$N417)*($N$7:$N$456&gt;=$M417))&gt;0,"⚠ Çakışma","OK")))</f>
        <v/>
      </c>
      <c r="Q417" s="33" t="str">
        <f aca="false">IF($A417&lt;&gt;"Seçildi","",IF(OR($L417="",$I417="",$M417=""),"",IF(SUMPRODUCT(($A$7:$A$456="Seçildi")*($L$7:$L$456=$L417)*($I$7:$I$456=$I417)*(ROW($A$7:$A$456)&lt;&gt;417)*($M$7:$M$456&lt;=$N417)*($N$7:$N$456&gt;=$M417))&gt;0,"⚠ Çakışma","OK")))</f>
        <v/>
      </c>
      <c r="R417" s="33" t="str">
        <f aca="false">IF($A417&lt;&gt;"Seçildi","",IF(OR($D417="",$I417="",$M417=""),"",IF(SUMPRODUCT(($A$7:$A$456="Seçildi")*($D$7:$D$456=$D417)*($I$7:$I$456=$I417)*(ROW($A$7:$A$456)&lt;&gt;417)*($M$7:$M$456&lt;=$N417)*($N$7:$N$456&gt;=$M417))&gt;0,"⚠ Çakışma","OK")))</f>
        <v/>
      </c>
      <c r="S417" s="33"/>
      <c r="T417" s="33" t="str">
        <f aca="false">IF(OR($A417&lt;&gt;"Seçildi",AND($I417="",$J417="")),"",IF(OR($O417&lt;&gt;"",$P417="⚠ Çakışma",$Q417="⚠ Çakışma",$R417="⚠ Çakışma"),"⚠ Kontrol Et","✓ Uygun"))</f>
        <v/>
      </c>
    </row>
    <row r="418" customFormat="false" ht="13.5" hidden="false" customHeight="true" outlineLevel="0" collapsed="false">
      <c r="A418" s="37" t="n">
        <f aca="false">'1-Ders Havuzu'!K140</f>
        <v>0</v>
      </c>
      <c r="B418" s="37" t="str">
        <f aca="false">IF($A418="Seçildi",IF('1-Ders Havuzu'!C140="","",'1-Ders Havuzu'!C140),"")</f>
        <v/>
      </c>
      <c r="C418" s="38" t="str">
        <f aca="false">IF($A418="Seçildi",IF('1-Ders Havuzu'!D140="","",'1-Ders Havuzu'!D140),"")</f>
        <v/>
      </c>
      <c r="D418" s="37" t="str">
        <f aca="false">IF($A418="Seçildi",IF('1-Ders Havuzu'!B140="","",'1-Ders Havuzu'!B140),"")</f>
        <v/>
      </c>
      <c r="E418" s="37" t="str">
        <f aca="false">IF($A418="Seçildi",IF('1-Ders Havuzu'!A140="","",'1-Ders Havuzu'!A140),"")</f>
        <v/>
      </c>
      <c r="F418" s="37" t="str">
        <f aca="false">IF($A418="Seçildi",IF('1-Ders Havuzu'!H140="","",'1-Ders Havuzu'!H140),"")</f>
        <v/>
      </c>
      <c r="G418" s="37" t="str">
        <f aca="false">IF($A418="Seçildi",IF('2-Ders-Öğr.Elemanı Eşleştirme'!H140="","",'2-Ders-Öğr.Elemanı Eşleştirme'!H140),"")</f>
        <v/>
      </c>
      <c r="H418" s="39" t="n">
        <v>1</v>
      </c>
      <c r="I418" s="36"/>
      <c r="J418" s="36"/>
      <c r="K418" s="36"/>
      <c r="L418" s="36"/>
      <c r="M418" s="37" t="str">
        <f aca="false">IF($J418="","",MATCH($J418,{"08.00";"09.00";"10.00";"11.00";"12.00";"13.00";"14.00";"15.00";"16.00";"17.00"},0))</f>
        <v/>
      </c>
      <c r="N418" s="37" t="str">
        <f aca="false">IF(OR($M418="",$K418=""),"",$M418+$K418-1)</f>
        <v/>
      </c>
      <c r="O418" s="37" t="str">
        <f aca="false">IF($A418&lt;&gt;"Seçildi","",IF(OR($M418="",$N418=""),"",IF($N418&gt;10,"⚠ Saat Taşıyor","")))</f>
        <v/>
      </c>
      <c r="P418" s="37" t="str">
        <f aca="false">IF($A418&lt;&gt;"Seçildi","",IF(OR($G418="",$I418="",$M418=""),"",IF(SUMPRODUCT(($A$7:$A$456="Seçildi")*($G$7:$G$456=$G418)*($I$7:$I$456=$I418)*(ROW($A$7:$A$456)&lt;&gt;418)*($M$7:$M$456&lt;=$N418)*($N$7:$N$456&gt;=$M418))&gt;0,"⚠ Çakışma","OK")))</f>
        <v/>
      </c>
      <c r="Q418" s="37" t="str">
        <f aca="false">IF($A418&lt;&gt;"Seçildi","",IF(OR($L418="",$I418="",$M418=""),"",IF(SUMPRODUCT(($A$7:$A$456="Seçildi")*($L$7:$L$456=$L418)*($I$7:$I$456=$I418)*(ROW($A$7:$A$456)&lt;&gt;418)*($M$7:$M$456&lt;=$N418)*($N$7:$N$456&gt;=$M418))&gt;0,"⚠ Çakışma","OK")))</f>
        <v/>
      </c>
      <c r="R418" s="37" t="str">
        <f aca="false">IF($A418&lt;&gt;"Seçildi","",IF(OR($D418="",$I418="",$M418=""),"",IF(SUMPRODUCT(($A$7:$A$456="Seçildi")*($D$7:$D$456=$D418)*($I$7:$I$456=$I418)*(ROW($A$7:$A$456)&lt;&gt;418)*($M$7:$M$456&lt;=$N418)*($N$7:$N$456&gt;=$M418))&gt;0,"⚠ Çakışma","OK")))</f>
        <v/>
      </c>
      <c r="S418" s="37" t="str">
        <f aca="false">IF($A418&lt;&gt;"Seçildi","",IF(SUM($K418,$K419,$K420)&lt;&gt;$F418,"⚠ Dağılım: "&amp;SUM($K418:$K420)&amp;"/"&amp;$F418&amp;" saat","✓ Tamam"))</f>
        <v/>
      </c>
      <c r="T418" s="37" t="str">
        <f aca="false">IF($A418&lt;&gt;"Seçildi","",IF(OR($O418&lt;&gt;"",$P418="⚠ Çakışma",$Q418="⚠ Çakışma",$R418="⚠ Çakışma",LEFT($S418&amp;" ",1)="⚠"),"⚠ Kontrol Et","✓ Uygun"))</f>
        <v/>
      </c>
    </row>
    <row r="419" customFormat="false" ht="13.5" hidden="false" customHeight="true" outlineLevel="0" collapsed="false">
      <c r="A419" s="37" t="n">
        <f aca="false">'1-Ders Havuzu'!K140</f>
        <v>0</v>
      </c>
      <c r="B419" s="37" t="str">
        <f aca="false">IF($A419="Seçildi",IF('1-Ders Havuzu'!C140="","",'1-Ders Havuzu'!C140),"")</f>
        <v/>
      </c>
      <c r="C419" s="38" t="str">
        <f aca="false">IF($A419="Seçildi",IF('1-Ders Havuzu'!D140="","",'1-Ders Havuzu'!D140),"")</f>
        <v/>
      </c>
      <c r="D419" s="37" t="str">
        <f aca="false">IF($A419="Seçildi",IF('1-Ders Havuzu'!B140="","",'1-Ders Havuzu'!B140),"")</f>
        <v/>
      </c>
      <c r="E419" s="37" t="str">
        <f aca="false">IF($A419="Seçildi",IF('1-Ders Havuzu'!A140="","",'1-Ders Havuzu'!A140),"")</f>
        <v/>
      </c>
      <c r="F419" s="37" t="str">
        <f aca="false">IF($A419="Seçildi",IF('1-Ders Havuzu'!H140="","",'1-Ders Havuzu'!H140),"")</f>
        <v/>
      </c>
      <c r="G419" s="37" t="str">
        <f aca="false">IF($A419="Seçildi",IF('2-Ders-Öğr.Elemanı Eşleştirme'!H140="","",'2-Ders-Öğr.Elemanı Eşleştirme'!H140),"")</f>
        <v/>
      </c>
      <c r="H419" s="39" t="n">
        <v>2</v>
      </c>
      <c r="I419" s="36"/>
      <c r="J419" s="36"/>
      <c r="K419" s="36"/>
      <c r="L419" s="36"/>
      <c r="M419" s="37" t="str">
        <f aca="false">IF($J419="","",MATCH($J419,{"08.00";"09.00";"10.00";"11.00";"12.00";"13.00";"14.00";"15.00";"16.00";"17.00"},0))</f>
        <v/>
      </c>
      <c r="N419" s="37" t="str">
        <f aca="false">IF(OR($M419="",$K419=""),"",$M419+$K419-1)</f>
        <v/>
      </c>
      <c r="O419" s="37" t="str">
        <f aca="false">IF($A419&lt;&gt;"Seçildi","",IF(OR($M419="",$N419=""),"",IF($N419&gt;10,"⚠ Saat Taşıyor","")))</f>
        <v/>
      </c>
      <c r="P419" s="37" t="str">
        <f aca="false">IF($A419&lt;&gt;"Seçildi","",IF(OR($G419="",$I419="",$M419=""),"",IF(SUMPRODUCT(($A$7:$A$456="Seçildi")*($G$7:$G$456=$G419)*($I$7:$I$456=$I419)*(ROW($A$7:$A$456)&lt;&gt;419)*($M$7:$M$456&lt;=$N419)*($N$7:$N$456&gt;=$M419))&gt;0,"⚠ Çakışma","OK")))</f>
        <v/>
      </c>
      <c r="Q419" s="37" t="str">
        <f aca="false">IF($A419&lt;&gt;"Seçildi","",IF(OR($L419="",$I419="",$M419=""),"",IF(SUMPRODUCT(($A$7:$A$456="Seçildi")*($L$7:$L$456=$L419)*($I$7:$I$456=$I419)*(ROW($A$7:$A$456)&lt;&gt;419)*($M$7:$M$456&lt;=$N419)*($N$7:$N$456&gt;=$M419))&gt;0,"⚠ Çakışma","OK")))</f>
        <v/>
      </c>
      <c r="R419" s="37" t="str">
        <f aca="false">IF($A419&lt;&gt;"Seçildi","",IF(OR($D419="",$I419="",$M419=""),"",IF(SUMPRODUCT(($A$7:$A$456="Seçildi")*($D$7:$D$456=$D419)*($I$7:$I$456=$I419)*(ROW($A$7:$A$456)&lt;&gt;419)*($M$7:$M$456&lt;=$N419)*($N$7:$N$456&gt;=$M419))&gt;0,"⚠ Çakışma","OK")))</f>
        <v/>
      </c>
      <c r="S419" s="37"/>
      <c r="T419" s="37" t="str">
        <f aca="false">IF(OR($A419&lt;&gt;"Seçildi",AND($I419="",$J419="")),"",IF(OR($O419&lt;&gt;"",$P419="⚠ Çakışma",$Q419="⚠ Çakışma",$R419="⚠ Çakışma"),"⚠ Kontrol Et","✓ Uygun"))</f>
        <v/>
      </c>
    </row>
    <row r="420" customFormat="false" ht="13.5" hidden="false" customHeight="true" outlineLevel="0" collapsed="false">
      <c r="A420" s="37" t="n">
        <f aca="false">'1-Ders Havuzu'!K140</f>
        <v>0</v>
      </c>
      <c r="B420" s="37" t="str">
        <f aca="false">IF($A420="Seçildi",IF('1-Ders Havuzu'!C140="","",'1-Ders Havuzu'!C140),"")</f>
        <v/>
      </c>
      <c r="C420" s="38" t="str">
        <f aca="false">IF($A420="Seçildi",IF('1-Ders Havuzu'!D140="","",'1-Ders Havuzu'!D140),"")</f>
        <v/>
      </c>
      <c r="D420" s="37" t="str">
        <f aca="false">IF($A420="Seçildi",IF('1-Ders Havuzu'!B140="","",'1-Ders Havuzu'!B140),"")</f>
        <v/>
      </c>
      <c r="E420" s="37" t="str">
        <f aca="false">IF($A420="Seçildi",IF('1-Ders Havuzu'!A140="","",'1-Ders Havuzu'!A140),"")</f>
        <v/>
      </c>
      <c r="F420" s="37" t="str">
        <f aca="false">IF($A420="Seçildi",IF('1-Ders Havuzu'!H140="","",'1-Ders Havuzu'!H140),"")</f>
        <v/>
      </c>
      <c r="G420" s="37" t="str">
        <f aca="false">IF($A420="Seçildi",IF('2-Ders-Öğr.Elemanı Eşleştirme'!H140="","",'2-Ders-Öğr.Elemanı Eşleştirme'!H140),"")</f>
        <v/>
      </c>
      <c r="H420" s="39" t="n">
        <v>3</v>
      </c>
      <c r="I420" s="36"/>
      <c r="J420" s="36"/>
      <c r="K420" s="36"/>
      <c r="L420" s="36"/>
      <c r="M420" s="37" t="str">
        <f aca="false">IF($J420="","",MATCH($J420,{"08.00";"09.00";"10.00";"11.00";"12.00";"13.00";"14.00";"15.00";"16.00";"17.00"},0))</f>
        <v/>
      </c>
      <c r="N420" s="37" t="str">
        <f aca="false">IF(OR($M420="",$K420=""),"",$M420+$K420-1)</f>
        <v/>
      </c>
      <c r="O420" s="37" t="str">
        <f aca="false">IF($A420&lt;&gt;"Seçildi","",IF(OR($M420="",$N420=""),"",IF($N420&gt;10,"⚠ Saat Taşıyor","")))</f>
        <v/>
      </c>
      <c r="P420" s="37" t="str">
        <f aca="false">IF($A420&lt;&gt;"Seçildi","",IF(OR($G420="",$I420="",$M420=""),"",IF(SUMPRODUCT(($A$7:$A$456="Seçildi")*($G$7:$G$456=$G420)*($I$7:$I$456=$I420)*(ROW($A$7:$A$456)&lt;&gt;420)*($M$7:$M$456&lt;=$N420)*($N$7:$N$456&gt;=$M420))&gt;0,"⚠ Çakışma","OK")))</f>
        <v/>
      </c>
      <c r="Q420" s="37" t="str">
        <f aca="false">IF($A420&lt;&gt;"Seçildi","",IF(OR($L420="",$I420="",$M420=""),"",IF(SUMPRODUCT(($A$7:$A$456="Seçildi")*($L$7:$L$456=$L420)*($I$7:$I$456=$I420)*(ROW($A$7:$A$456)&lt;&gt;420)*($M$7:$M$456&lt;=$N420)*($N$7:$N$456&gt;=$M420))&gt;0,"⚠ Çakışma","OK")))</f>
        <v/>
      </c>
      <c r="R420" s="37" t="str">
        <f aca="false">IF($A420&lt;&gt;"Seçildi","",IF(OR($D420="",$I420="",$M420=""),"",IF(SUMPRODUCT(($A$7:$A$456="Seçildi")*($D$7:$D$456=$D420)*($I$7:$I$456=$I420)*(ROW($A$7:$A$456)&lt;&gt;420)*($M$7:$M$456&lt;=$N420)*($N$7:$N$456&gt;=$M420))&gt;0,"⚠ Çakışma","OK")))</f>
        <v/>
      </c>
      <c r="S420" s="37"/>
      <c r="T420" s="37" t="str">
        <f aca="false">IF(OR($A420&lt;&gt;"Seçildi",AND($I420="",$J420="")),"",IF(OR($O420&lt;&gt;"",$P420="⚠ Çakışma",$Q420="⚠ Çakışma",$R420="⚠ Çakışma"),"⚠ Kontrol Et","✓ Uygun"))</f>
        <v/>
      </c>
    </row>
    <row r="421" customFormat="false" ht="13.5" hidden="false" customHeight="true" outlineLevel="0" collapsed="false">
      <c r="A421" s="33" t="n">
        <f aca="false">'1-Ders Havuzu'!K141</f>
        <v>0</v>
      </c>
      <c r="B421" s="33" t="str">
        <f aca="false">IF($A421="Seçildi",IF('1-Ders Havuzu'!C141="","",'1-Ders Havuzu'!C141),"")</f>
        <v/>
      </c>
      <c r="C421" s="34" t="str">
        <f aca="false">IF($A421="Seçildi",IF('1-Ders Havuzu'!D141="","",'1-Ders Havuzu'!D141),"")</f>
        <v/>
      </c>
      <c r="D421" s="33" t="str">
        <f aca="false">IF($A421="Seçildi",IF('1-Ders Havuzu'!B141="","",'1-Ders Havuzu'!B141),"")</f>
        <v/>
      </c>
      <c r="E421" s="33" t="str">
        <f aca="false">IF($A421="Seçildi",IF('1-Ders Havuzu'!A141="","",'1-Ders Havuzu'!A141),"")</f>
        <v/>
      </c>
      <c r="F421" s="33" t="str">
        <f aca="false">IF($A421="Seçildi",IF('1-Ders Havuzu'!H141="","",'1-Ders Havuzu'!H141),"")</f>
        <v/>
      </c>
      <c r="G421" s="33" t="str">
        <f aca="false">IF($A421="Seçildi",IF('2-Ders-Öğr.Elemanı Eşleştirme'!H141="","",'2-Ders-Öğr.Elemanı Eşleştirme'!H141),"")</f>
        <v/>
      </c>
      <c r="H421" s="35" t="n">
        <v>1</v>
      </c>
      <c r="I421" s="36"/>
      <c r="J421" s="36"/>
      <c r="K421" s="36"/>
      <c r="L421" s="36"/>
      <c r="M421" s="33" t="str">
        <f aca="false">IF($J421="","",MATCH($J421,{"08.00";"09.00";"10.00";"11.00";"12.00";"13.00";"14.00";"15.00";"16.00";"17.00"},0))</f>
        <v/>
      </c>
      <c r="N421" s="33" t="str">
        <f aca="false">IF(OR($M421="",$K421=""),"",$M421+$K421-1)</f>
        <v/>
      </c>
      <c r="O421" s="33" t="str">
        <f aca="false">IF($A421&lt;&gt;"Seçildi","",IF(OR($M421="",$N421=""),"",IF($N421&gt;10,"⚠ Saat Taşıyor","")))</f>
        <v/>
      </c>
      <c r="P421" s="33" t="str">
        <f aca="false">IF($A421&lt;&gt;"Seçildi","",IF(OR($G421="",$I421="",$M421=""),"",IF(SUMPRODUCT(($A$7:$A$456="Seçildi")*($G$7:$G$456=$G421)*($I$7:$I$456=$I421)*(ROW($A$7:$A$456)&lt;&gt;421)*($M$7:$M$456&lt;=$N421)*($N$7:$N$456&gt;=$M421))&gt;0,"⚠ Çakışma","OK")))</f>
        <v/>
      </c>
      <c r="Q421" s="33" t="str">
        <f aca="false">IF($A421&lt;&gt;"Seçildi","",IF(OR($L421="",$I421="",$M421=""),"",IF(SUMPRODUCT(($A$7:$A$456="Seçildi")*($L$7:$L$456=$L421)*($I$7:$I$456=$I421)*(ROW($A$7:$A$456)&lt;&gt;421)*($M$7:$M$456&lt;=$N421)*($N$7:$N$456&gt;=$M421))&gt;0,"⚠ Çakışma","OK")))</f>
        <v/>
      </c>
      <c r="R421" s="33" t="str">
        <f aca="false">IF($A421&lt;&gt;"Seçildi","",IF(OR($D421="",$I421="",$M421=""),"",IF(SUMPRODUCT(($A$7:$A$456="Seçildi")*($D$7:$D$456=$D421)*($I$7:$I$456=$I421)*(ROW($A$7:$A$456)&lt;&gt;421)*($M$7:$M$456&lt;=$N421)*($N$7:$N$456&gt;=$M421))&gt;0,"⚠ Çakışma","OK")))</f>
        <v/>
      </c>
      <c r="S421" s="33" t="str">
        <f aca="false">IF($A421&lt;&gt;"Seçildi","",IF(SUM($K421,$K422,$K423)&lt;&gt;$F421,"⚠ Dağılım: "&amp;SUM($K421:$K423)&amp;"/"&amp;$F421&amp;" saat","✓ Tamam"))</f>
        <v/>
      </c>
      <c r="T421" s="33" t="str">
        <f aca="false">IF($A421&lt;&gt;"Seçildi","",IF(OR($O421&lt;&gt;"",$P421="⚠ Çakışma",$Q421="⚠ Çakışma",$R421="⚠ Çakışma",LEFT($S421&amp;" ",1)="⚠"),"⚠ Kontrol Et","✓ Uygun"))</f>
        <v/>
      </c>
    </row>
    <row r="422" customFormat="false" ht="13.5" hidden="false" customHeight="true" outlineLevel="0" collapsed="false">
      <c r="A422" s="33" t="n">
        <f aca="false">'1-Ders Havuzu'!K141</f>
        <v>0</v>
      </c>
      <c r="B422" s="33" t="str">
        <f aca="false">IF($A422="Seçildi",IF('1-Ders Havuzu'!C141="","",'1-Ders Havuzu'!C141),"")</f>
        <v/>
      </c>
      <c r="C422" s="34" t="str">
        <f aca="false">IF($A422="Seçildi",IF('1-Ders Havuzu'!D141="","",'1-Ders Havuzu'!D141),"")</f>
        <v/>
      </c>
      <c r="D422" s="33" t="str">
        <f aca="false">IF($A422="Seçildi",IF('1-Ders Havuzu'!B141="","",'1-Ders Havuzu'!B141),"")</f>
        <v/>
      </c>
      <c r="E422" s="33" t="str">
        <f aca="false">IF($A422="Seçildi",IF('1-Ders Havuzu'!A141="","",'1-Ders Havuzu'!A141),"")</f>
        <v/>
      </c>
      <c r="F422" s="33" t="str">
        <f aca="false">IF($A422="Seçildi",IF('1-Ders Havuzu'!H141="","",'1-Ders Havuzu'!H141),"")</f>
        <v/>
      </c>
      <c r="G422" s="33" t="str">
        <f aca="false">IF($A422="Seçildi",IF('2-Ders-Öğr.Elemanı Eşleştirme'!H141="","",'2-Ders-Öğr.Elemanı Eşleştirme'!H141),"")</f>
        <v/>
      </c>
      <c r="H422" s="35" t="n">
        <v>2</v>
      </c>
      <c r="I422" s="36"/>
      <c r="J422" s="36"/>
      <c r="K422" s="36"/>
      <c r="L422" s="36"/>
      <c r="M422" s="33" t="str">
        <f aca="false">IF($J422="","",MATCH($J422,{"08.00";"09.00";"10.00";"11.00";"12.00";"13.00";"14.00";"15.00";"16.00";"17.00"},0))</f>
        <v/>
      </c>
      <c r="N422" s="33" t="str">
        <f aca="false">IF(OR($M422="",$K422=""),"",$M422+$K422-1)</f>
        <v/>
      </c>
      <c r="O422" s="33" t="str">
        <f aca="false">IF($A422&lt;&gt;"Seçildi","",IF(OR($M422="",$N422=""),"",IF($N422&gt;10,"⚠ Saat Taşıyor","")))</f>
        <v/>
      </c>
      <c r="P422" s="33" t="str">
        <f aca="false">IF($A422&lt;&gt;"Seçildi","",IF(OR($G422="",$I422="",$M422=""),"",IF(SUMPRODUCT(($A$7:$A$456="Seçildi")*($G$7:$G$456=$G422)*($I$7:$I$456=$I422)*(ROW($A$7:$A$456)&lt;&gt;422)*($M$7:$M$456&lt;=$N422)*($N$7:$N$456&gt;=$M422))&gt;0,"⚠ Çakışma","OK")))</f>
        <v/>
      </c>
      <c r="Q422" s="33" t="str">
        <f aca="false">IF($A422&lt;&gt;"Seçildi","",IF(OR($L422="",$I422="",$M422=""),"",IF(SUMPRODUCT(($A$7:$A$456="Seçildi")*($L$7:$L$456=$L422)*($I$7:$I$456=$I422)*(ROW($A$7:$A$456)&lt;&gt;422)*($M$7:$M$456&lt;=$N422)*($N$7:$N$456&gt;=$M422))&gt;0,"⚠ Çakışma","OK")))</f>
        <v/>
      </c>
      <c r="R422" s="33" t="str">
        <f aca="false">IF($A422&lt;&gt;"Seçildi","",IF(OR($D422="",$I422="",$M422=""),"",IF(SUMPRODUCT(($A$7:$A$456="Seçildi")*($D$7:$D$456=$D422)*($I$7:$I$456=$I422)*(ROW($A$7:$A$456)&lt;&gt;422)*($M$7:$M$456&lt;=$N422)*($N$7:$N$456&gt;=$M422))&gt;0,"⚠ Çakışma","OK")))</f>
        <v/>
      </c>
      <c r="S422" s="33"/>
      <c r="T422" s="33" t="str">
        <f aca="false">IF(OR($A422&lt;&gt;"Seçildi",AND($I422="",$J422="")),"",IF(OR($O422&lt;&gt;"",$P422="⚠ Çakışma",$Q422="⚠ Çakışma",$R422="⚠ Çakışma"),"⚠ Kontrol Et","✓ Uygun"))</f>
        <v/>
      </c>
    </row>
    <row r="423" customFormat="false" ht="13.5" hidden="false" customHeight="true" outlineLevel="0" collapsed="false">
      <c r="A423" s="33" t="n">
        <f aca="false">'1-Ders Havuzu'!K141</f>
        <v>0</v>
      </c>
      <c r="B423" s="33" t="str">
        <f aca="false">IF($A423="Seçildi",IF('1-Ders Havuzu'!C141="","",'1-Ders Havuzu'!C141),"")</f>
        <v/>
      </c>
      <c r="C423" s="34" t="str">
        <f aca="false">IF($A423="Seçildi",IF('1-Ders Havuzu'!D141="","",'1-Ders Havuzu'!D141),"")</f>
        <v/>
      </c>
      <c r="D423" s="33" t="str">
        <f aca="false">IF($A423="Seçildi",IF('1-Ders Havuzu'!B141="","",'1-Ders Havuzu'!B141),"")</f>
        <v/>
      </c>
      <c r="E423" s="33" t="str">
        <f aca="false">IF($A423="Seçildi",IF('1-Ders Havuzu'!A141="","",'1-Ders Havuzu'!A141),"")</f>
        <v/>
      </c>
      <c r="F423" s="33" t="str">
        <f aca="false">IF($A423="Seçildi",IF('1-Ders Havuzu'!H141="","",'1-Ders Havuzu'!H141),"")</f>
        <v/>
      </c>
      <c r="G423" s="33" t="str">
        <f aca="false">IF($A423="Seçildi",IF('2-Ders-Öğr.Elemanı Eşleştirme'!H141="","",'2-Ders-Öğr.Elemanı Eşleştirme'!H141),"")</f>
        <v/>
      </c>
      <c r="H423" s="35" t="n">
        <v>3</v>
      </c>
      <c r="I423" s="36"/>
      <c r="J423" s="36"/>
      <c r="K423" s="36"/>
      <c r="L423" s="36"/>
      <c r="M423" s="33" t="str">
        <f aca="false">IF($J423="","",MATCH($J423,{"08.00";"09.00";"10.00";"11.00";"12.00";"13.00";"14.00";"15.00";"16.00";"17.00"},0))</f>
        <v/>
      </c>
      <c r="N423" s="33" t="str">
        <f aca="false">IF(OR($M423="",$K423=""),"",$M423+$K423-1)</f>
        <v/>
      </c>
      <c r="O423" s="33" t="str">
        <f aca="false">IF($A423&lt;&gt;"Seçildi","",IF(OR($M423="",$N423=""),"",IF($N423&gt;10,"⚠ Saat Taşıyor","")))</f>
        <v/>
      </c>
      <c r="P423" s="33" t="str">
        <f aca="false">IF($A423&lt;&gt;"Seçildi","",IF(OR($G423="",$I423="",$M423=""),"",IF(SUMPRODUCT(($A$7:$A$456="Seçildi")*($G$7:$G$456=$G423)*($I$7:$I$456=$I423)*(ROW($A$7:$A$456)&lt;&gt;423)*($M$7:$M$456&lt;=$N423)*($N$7:$N$456&gt;=$M423))&gt;0,"⚠ Çakışma","OK")))</f>
        <v/>
      </c>
      <c r="Q423" s="33" t="str">
        <f aca="false">IF($A423&lt;&gt;"Seçildi","",IF(OR($L423="",$I423="",$M423=""),"",IF(SUMPRODUCT(($A$7:$A$456="Seçildi")*($L$7:$L$456=$L423)*($I$7:$I$456=$I423)*(ROW($A$7:$A$456)&lt;&gt;423)*($M$7:$M$456&lt;=$N423)*($N$7:$N$456&gt;=$M423))&gt;0,"⚠ Çakışma","OK")))</f>
        <v/>
      </c>
      <c r="R423" s="33" t="str">
        <f aca="false">IF($A423&lt;&gt;"Seçildi","",IF(OR($D423="",$I423="",$M423=""),"",IF(SUMPRODUCT(($A$7:$A$456="Seçildi")*($D$7:$D$456=$D423)*($I$7:$I$456=$I423)*(ROW($A$7:$A$456)&lt;&gt;423)*($M$7:$M$456&lt;=$N423)*($N$7:$N$456&gt;=$M423))&gt;0,"⚠ Çakışma","OK")))</f>
        <v/>
      </c>
      <c r="S423" s="33"/>
      <c r="T423" s="33" t="str">
        <f aca="false">IF(OR($A423&lt;&gt;"Seçildi",AND($I423="",$J423="")),"",IF(OR($O423&lt;&gt;"",$P423="⚠ Çakışma",$Q423="⚠ Çakışma",$R423="⚠ Çakışma"),"⚠ Kontrol Et","✓ Uygun"))</f>
        <v/>
      </c>
    </row>
    <row r="424" customFormat="false" ht="13.5" hidden="false" customHeight="true" outlineLevel="0" collapsed="false">
      <c r="A424" s="37" t="n">
        <f aca="false">'1-Ders Havuzu'!K142</f>
        <v>0</v>
      </c>
      <c r="B424" s="37" t="str">
        <f aca="false">IF($A424="Seçildi",IF('1-Ders Havuzu'!C142="","",'1-Ders Havuzu'!C142),"")</f>
        <v/>
      </c>
      <c r="C424" s="38" t="str">
        <f aca="false">IF($A424="Seçildi",IF('1-Ders Havuzu'!D142="","",'1-Ders Havuzu'!D142),"")</f>
        <v/>
      </c>
      <c r="D424" s="37" t="str">
        <f aca="false">IF($A424="Seçildi",IF('1-Ders Havuzu'!B142="","",'1-Ders Havuzu'!B142),"")</f>
        <v/>
      </c>
      <c r="E424" s="37" t="str">
        <f aca="false">IF($A424="Seçildi",IF('1-Ders Havuzu'!A142="","",'1-Ders Havuzu'!A142),"")</f>
        <v/>
      </c>
      <c r="F424" s="37" t="str">
        <f aca="false">IF($A424="Seçildi",IF('1-Ders Havuzu'!H142="","",'1-Ders Havuzu'!H142),"")</f>
        <v/>
      </c>
      <c r="G424" s="37" t="str">
        <f aca="false">IF($A424="Seçildi",IF('2-Ders-Öğr.Elemanı Eşleştirme'!H142="","",'2-Ders-Öğr.Elemanı Eşleştirme'!H142),"")</f>
        <v/>
      </c>
      <c r="H424" s="39" t="n">
        <v>1</v>
      </c>
      <c r="I424" s="36"/>
      <c r="J424" s="36"/>
      <c r="K424" s="36"/>
      <c r="L424" s="36"/>
      <c r="M424" s="37" t="str">
        <f aca="false">IF($J424="","",MATCH($J424,{"08.00";"09.00";"10.00";"11.00";"12.00";"13.00";"14.00";"15.00";"16.00";"17.00"},0))</f>
        <v/>
      </c>
      <c r="N424" s="37" t="str">
        <f aca="false">IF(OR($M424="",$K424=""),"",$M424+$K424-1)</f>
        <v/>
      </c>
      <c r="O424" s="37" t="str">
        <f aca="false">IF($A424&lt;&gt;"Seçildi","",IF(OR($M424="",$N424=""),"",IF($N424&gt;10,"⚠ Saat Taşıyor","")))</f>
        <v/>
      </c>
      <c r="P424" s="37" t="str">
        <f aca="false">IF($A424&lt;&gt;"Seçildi","",IF(OR($G424="",$I424="",$M424=""),"",IF(SUMPRODUCT(($A$7:$A$456="Seçildi")*($G$7:$G$456=$G424)*($I$7:$I$456=$I424)*(ROW($A$7:$A$456)&lt;&gt;424)*($M$7:$M$456&lt;=$N424)*($N$7:$N$456&gt;=$M424))&gt;0,"⚠ Çakışma","OK")))</f>
        <v/>
      </c>
      <c r="Q424" s="37" t="str">
        <f aca="false">IF($A424&lt;&gt;"Seçildi","",IF(OR($L424="",$I424="",$M424=""),"",IF(SUMPRODUCT(($A$7:$A$456="Seçildi")*($L$7:$L$456=$L424)*($I$7:$I$456=$I424)*(ROW($A$7:$A$456)&lt;&gt;424)*($M$7:$M$456&lt;=$N424)*($N$7:$N$456&gt;=$M424))&gt;0,"⚠ Çakışma","OK")))</f>
        <v/>
      </c>
      <c r="R424" s="37" t="str">
        <f aca="false">IF($A424&lt;&gt;"Seçildi","",IF(OR($D424="",$I424="",$M424=""),"",IF(SUMPRODUCT(($A$7:$A$456="Seçildi")*($D$7:$D$456=$D424)*($I$7:$I$456=$I424)*(ROW($A$7:$A$456)&lt;&gt;424)*($M$7:$M$456&lt;=$N424)*($N$7:$N$456&gt;=$M424))&gt;0,"⚠ Çakışma","OK")))</f>
        <v/>
      </c>
      <c r="S424" s="37" t="str">
        <f aca="false">IF($A424&lt;&gt;"Seçildi","",IF(SUM($K424,$K425,$K426)&lt;&gt;$F424,"⚠ Dağılım: "&amp;SUM($K424:$K426)&amp;"/"&amp;$F424&amp;" saat","✓ Tamam"))</f>
        <v/>
      </c>
      <c r="T424" s="37" t="str">
        <f aca="false">IF($A424&lt;&gt;"Seçildi","",IF(OR($O424&lt;&gt;"",$P424="⚠ Çakışma",$Q424="⚠ Çakışma",$R424="⚠ Çakışma",LEFT($S424&amp;" ",1)="⚠"),"⚠ Kontrol Et","✓ Uygun"))</f>
        <v/>
      </c>
    </row>
    <row r="425" customFormat="false" ht="13.5" hidden="false" customHeight="true" outlineLevel="0" collapsed="false">
      <c r="A425" s="37" t="n">
        <f aca="false">'1-Ders Havuzu'!K142</f>
        <v>0</v>
      </c>
      <c r="B425" s="37" t="str">
        <f aca="false">IF($A425="Seçildi",IF('1-Ders Havuzu'!C142="","",'1-Ders Havuzu'!C142),"")</f>
        <v/>
      </c>
      <c r="C425" s="38" t="str">
        <f aca="false">IF($A425="Seçildi",IF('1-Ders Havuzu'!D142="","",'1-Ders Havuzu'!D142),"")</f>
        <v/>
      </c>
      <c r="D425" s="37" t="str">
        <f aca="false">IF($A425="Seçildi",IF('1-Ders Havuzu'!B142="","",'1-Ders Havuzu'!B142),"")</f>
        <v/>
      </c>
      <c r="E425" s="37" t="str">
        <f aca="false">IF($A425="Seçildi",IF('1-Ders Havuzu'!A142="","",'1-Ders Havuzu'!A142),"")</f>
        <v/>
      </c>
      <c r="F425" s="37" t="str">
        <f aca="false">IF($A425="Seçildi",IF('1-Ders Havuzu'!H142="","",'1-Ders Havuzu'!H142),"")</f>
        <v/>
      </c>
      <c r="G425" s="37" t="str">
        <f aca="false">IF($A425="Seçildi",IF('2-Ders-Öğr.Elemanı Eşleştirme'!H142="","",'2-Ders-Öğr.Elemanı Eşleştirme'!H142),"")</f>
        <v/>
      </c>
      <c r="H425" s="39" t="n">
        <v>2</v>
      </c>
      <c r="I425" s="36"/>
      <c r="J425" s="36"/>
      <c r="K425" s="36"/>
      <c r="L425" s="36"/>
      <c r="M425" s="37" t="str">
        <f aca="false">IF($J425="","",MATCH($J425,{"08.00";"09.00";"10.00";"11.00";"12.00";"13.00";"14.00";"15.00";"16.00";"17.00"},0))</f>
        <v/>
      </c>
      <c r="N425" s="37" t="str">
        <f aca="false">IF(OR($M425="",$K425=""),"",$M425+$K425-1)</f>
        <v/>
      </c>
      <c r="O425" s="37" t="str">
        <f aca="false">IF($A425&lt;&gt;"Seçildi","",IF(OR($M425="",$N425=""),"",IF($N425&gt;10,"⚠ Saat Taşıyor","")))</f>
        <v/>
      </c>
      <c r="P425" s="37" t="str">
        <f aca="false">IF($A425&lt;&gt;"Seçildi","",IF(OR($G425="",$I425="",$M425=""),"",IF(SUMPRODUCT(($A$7:$A$456="Seçildi")*($G$7:$G$456=$G425)*($I$7:$I$456=$I425)*(ROW($A$7:$A$456)&lt;&gt;425)*($M$7:$M$456&lt;=$N425)*($N$7:$N$456&gt;=$M425))&gt;0,"⚠ Çakışma","OK")))</f>
        <v/>
      </c>
      <c r="Q425" s="37" t="str">
        <f aca="false">IF($A425&lt;&gt;"Seçildi","",IF(OR($L425="",$I425="",$M425=""),"",IF(SUMPRODUCT(($A$7:$A$456="Seçildi")*($L$7:$L$456=$L425)*($I$7:$I$456=$I425)*(ROW($A$7:$A$456)&lt;&gt;425)*($M$7:$M$456&lt;=$N425)*($N$7:$N$456&gt;=$M425))&gt;0,"⚠ Çakışma","OK")))</f>
        <v/>
      </c>
      <c r="R425" s="37" t="str">
        <f aca="false">IF($A425&lt;&gt;"Seçildi","",IF(OR($D425="",$I425="",$M425=""),"",IF(SUMPRODUCT(($A$7:$A$456="Seçildi")*($D$7:$D$456=$D425)*($I$7:$I$456=$I425)*(ROW($A$7:$A$456)&lt;&gt;425)*($M$7:$M$456&lt;=$N425)*($N$7:$N$456&gt;=$M425))&gt;0,"⚠ Çakışma","OK")))</f>
        <v/>
      </c>
      <c r="S425" s="37"/>
      <c r="T425" s="37" t="str">
        <f aca="false">IF(OR($A425&lt;&gt;"Seçildi",AND($I425="",$J425="")),"",IF(OR($O425&lt;&gt;"",$P425="⚠ Çakışma",$Q425="⚠ Çakışma",$R425="⚠ Çakışma"),"⚠ Kontrol Et","✓ Uygun"))</f>
        <v/>
      </c>
    </row>
    <row r="426" customFormat="false" ht="13.5" hidden="false" customHeight="true" outlineLevel="0" collapsed="false">
      <c r="A426" s="37" t="n">
        <f aca="false">'1-Ders Havuzu'!K142</f>
        <v>0</v>
      </c>
      <c r="B426" s="37" t="str">
        <f aca="false">IF($A426="Seçildi",IF('1-Ders Havuzu'!C142="","",'1-Ders Havuzu'!C142),"")</f>
        <v/>
      </c>
      <c r="C426" s="38" t="str">
        <f aca="false">IF($A426="Seçildi",IF('1-Ders Havuzu'!D142="","",'1-Ders Havuzu'!D142),"")</f>
        <v/>
      </c>
      <c r="D426" s="37" t="str">
        <f aca="false">IF($A426="Seçildi",IF('1-Ders Havuzu'!B142="","",'1-Ders Havuzu'!B142),"")</f>
        <v/>
      </c>
      <c r="E426" s="37" t="str">
        <f aca="false">IF($A426="Seçildi",IF('1-Ders Havuzu'!A142="","",'1-Ders Havuzu'!A142),"")</f>
        <v/>
      </c>
      <c r="F426" s="37" t="str">
        <f aca="false">IF($A426="Seçildi",IF('1-Ders Havuzu'!H142="","",'1-Ders Havuzu'!H142),"")</f>
        <v/>
      </c>
      <c r="G426" s="37" t="str">
        <f aca="false">IF($A426="Seçildi",IF('2-Ders-Öğr.Elemanı Eşleştirme'!H142="","",'2-Ders-Öğr.Elemanı Eşleştirme'!H142),"")</f>
        <v/>
      </c>
      <c r="H426" s="39" t="n">
        <v>3</v>
      </c>
      <c r="I426" s="36"/>
      <c r="J426" s="36"/>
      <c r="K426" s="36"/>
      <c r="L426" s="36"/>
      <c r="M426" s="37" t="str">
        <f aca="false">IF($J426="","",MATCH($J426,{"08.00";"09.00";"10.00";"11.00";"12.00";"13.00";"14.00";"15.00";"16.00";"17.00"},0))</f>
        <v/>
      </c>
      <c r="N426" s="37" t="str">
        <f aca="false">IF(OR($M426="",$K426=""),"",$M426+$K426-1)</f>
        <v/>
      </c>
      <c r="O426" s="37" t="str">
        <f aca="false">IF($A426&lt;&gt;"Seçildi","",IF(OR($M426="",$N426=""),"",IF($N426&gt;10,"⚠ Saat Taşıyor","")))</f>
        <v/>
      </c>
      <c r="P426" s="37" t="str">
        <f aca="false">IF($A426&lt;&gt;"Seçildi","",IF(OR($G426="",$I426="",$M426=""),"",IF(SUMPRODUCT(($A$7:$A$456="Seçildi")*($G$7:$G$456=$G426)*($I$7:$I$456=$I426)*(ROW($A$7:$A$456)&lt;&gt;426)*($M$7:$M$456&lt;=$N426)*($N$7:$N$456&gt;=$M426))&gt;0,"⚠ Çakışma","OK")))</f>
        <v/>
      </c>
      <c r="Q426" s="37" t="str">
        <f aca="false">IF($A426&lt;&gt;"Seçildi","",IF(OR($L426="",$I426="",$M426=""),"",IF(SUMPRODUCT(($A$7:$A$456="Seçildi")*($L$7:$L$456=$L426)*($I$7:$I$456=$I426)*(ROW($A$7:$A$456)&lt;&gt;426)*($M$7:$M$456&lt;=$N426)*($N$7:$N$456&gt;=$M426))&gt;0,"⚠ Çakışma","OK")))</f>
        <v/>
      </c>
      <c r="R426" s="37" t="str">
        <f aca="false">IF($A426&lt;&gt;"Seçildi","",IF(OR($D426="",$I426="",$M426=""),"",IF(SUMPRODUCT(($A$7:$A$456="Seçildi")*($D$7:$D$456=$D426)*($I$7:$I$456=$I426)*(ROW($A$7:$A$456)&lt;&gt;426)*($M$7:$M$456&lt;=$N426)*($N$7:$N$456&gt;=$M426))&gt;0,"⚠ Çakışma","OK")))</f>
        <v/>
      </c>
      <c r="S426" s="37"/>
      <c r="T426" s="37" t="str">
        <f aca="false">IF(OR($A426&lt;&gt;"Seçildi",AND($I426="",$J426="")),"",IF(OR($O426&lt;&gt;"",$P426="⚠ Çakışma",$Q426="⚠ Çakışma",$R426="⚠ Çakışma"),"⚠ Kontrol Et","✓ Uygun"))</f>
        <v/>
      </c>
    </row>
    <row r="427" customFormat="false" ht="13.5" hidden="false" customHeight="true" outlineLevel="0" collapsed="false">
      <c r="A427" s="33" t="n">
        <f aca="false">'1-Ders Havuzu'!K143</f>
        <v>0</v>
      </c>
      <c r="B427" s="33" t="str">
        <f aca="false">IF($A427="Seçildi",IF('1-Ders Havuzu'!C143="","",'1-Ders Havuzu'!C143),"")</f>
        <v/>
      </c>
      <c r="C427" s="34" t="str">
        <f aca="false">IF($A427="Seçildi",IF('1-Ders Havuzu'!D143="","",'1-Ders Havuzu'!D143),"")</f>
        <v/>
      </c>
      <c r="D427" s="33" t="str">
        <f aca="false">IF($A427="Seçildi",IF('1-Ders Havuzu'!B143="","",'1-Ders Havuzu'!B143),"")</f>
        <v/>
      </c>
      <c r="E427" s="33" t="str">
        <f aca="false">IF($A427="Seçildi",IF('1-Ders Havuzu'!A143="","",'1-Ders Havuzu'!A143),"")</f>
        <v/>
      </c>
      <c r="F427" s="33" t="str">
        <f aca="false">IF($A427="Seçildi",IF('1-Ders Havuzu'!H143="","",'1-Ders Havuzu'!H143),"")</f>
        <v/>
      </c>
      <c r="G427" s="33" t="str">
        <f aca="false">IF($A427="Seçildi",IF('2-Ders-Öğr.Elemanı Eşleştirme'!H143="","",'2-Ders-Öğr.Elemanı Eşleştirme'!H143),"")</f>
        <v/>
      </c>
      <c r="H427" s="35" t="n">
        <v>1</v>
      </c>
      <c r="I427" s="36"/>
      <c r="J427" s="36"/>
      <c r="K427" s="36"/>
      <c r="L427" s="36"/>
      <c r="M427" s="33" t="str">
        <f aca="false">IF($J427="","",MATCH($J427,{"08.00";"09.00";"10.00";"11.00";"12.00";"13.00";"14.00";"15.00";"16.00";"17.00"},0))</f>
        <v/>
      </c>
      <c r="N427" s="33" t="str">
        <f aca="false">IF(OR($M427="",$K427=""),"",$M427+$K427-1)</f>
        <v/>
      </c>
      <c r="O427" s="33" t="str">
        <f aca="false">IF($A427&lt;&gt;"Seçildi","",IF(OR($M427="",$N427=""),"",IF($N427&gt;10,"⚠ Saat Taşıyor","")))</f>
        <v/>
      </c>
      <c r="P427" s="33" t="str">
        <f aca="false">IF($A427&lt;&gt;"Seçildi","",IF(OR($G427="",$I427="",$M427=""),"",IF(SUMPRODUCT(($A$7:$A$456="Seçildi")*($G$7:$G$456=$G427)*($I$7:$I$456=$I427)*(ROW($A$7:$A$456)&lt;&gt;427)*($M$7:$M$456&lt;=$N427)*($N$7:$N$456&gt;=$M427))&gt;0,"⚠ Çakışma","OK")))</f>
        <v/>
      </c>
      <c r="Q427" s="33" t="str">
        <f aca="false">IF($A427&lt;&gt;"Seçildi","",IF(OR($L427="",$I427="",$M427=""),"",IF(SUMPRODUCT(($A$7:$A$456="Seçildi")*($L$7:$L$456=$L427)*($I$7:$I$456=$I427)*(ROW($A$7:$A$456)&lt;&gt;427)*($M$7:$M$456&lt;=$N427)*($N$7:$N$456&gt;=$M427))&gt;0,"⚠ Çakışma","OK")))</f>
        <v/>
      </c>
      <c r="R427" s="33" t="str">
        <f aca="false">IF($A427&lt;&gt;"Seçildi","",IF(OR($D427="",$I427="",$M427=""),"",IF(SUMPRODUCT(($A$7:$A$456="Seçildi")*($D$7:$D$456=$D427)*($I$7:$I$456=$I427)*(ROW($A$7:$A$456)&lt;&gt;427)*($M$7:$M$456&lt;=$N427)*($N$7:$N$456&gt;=$M427))&gt;0,"⚠ Çakışma","OK")))</f>
        <v/>
      </c>
      <c r="S427" s="33" t="str">
        <f aca="false">IF($A427&lt;&gt;"Seçildi","",IF(SUM($K427,$K428,$K429)&lt;&gt;$F427,"⚠ Dağılım: "&amp;SUM($K427:$K429)&amp;"/"&amp;$F427&amp;" saat","✓ Tamam"))</f>
        <v/>
      </c>
      <c r="T427" s="33" t="str">
        <f aca="false">IF($A427&lt;&gt;"Seçildi","",IF(OR($O427&lt;&gt;"",$P427="⚠ Çakışma",$Q427="⚠ Çakışma",$R427="⚠ Çakışma",LEFT($S427&amp;" ",1)="⚠"),"⚠ Kontrol Et","✓ Uygun"))</f>
        <v/>
      </c>
    </row>
    <row r="428" customFormat="false" ht="13.5" hidden="false" customHeight="true" outlineLevel="0" collapsed="false">
      <c r="A428" s="33" t="n">
        <f aca="false">'1-Ders Havuzu'!K143</f>
        <v>0</v>
      </c>
      <c r="B428" s="33" t="str">
        <f aca="false">IF($A428="Seçildi",IF('1-Ders Havuzu'!C143="","",'1-Ders Havuzu'!C143),"")</f>
        <v/>
      </c>
      <c r="C428" s="34" t="str">
        <f aca="false">IF($A428="Seçildi",IF('1-Ders Havuzu'!D143="","",'1-Ders Havuzu'!D143),"")</f>
        <v/>
      </c>
      <c r="D428" s="33" t="str">
        <f aca="false">IF($A428="Seçildi",IF('1-Ders Havuzu'!B143="","",'1-Ders Havuzu'!B143),"")</f>
        <v/>
      </c>
      <c r="E428" s="33" t="str">
        <f aca="false">IF($A428="Seçildi",IF('1-Ders Havuzu'!A143="","",'1-Ders Havuzu'!A143),"")</f>
        <v/>
      </c>
      <c r="F428" s="33" t="str">
        <f aca="false">IF($A428="Seçildi",IF('1-Ders Havuzu'!H143="","",'1-Ders Havuzu'!H143),"")</f>
        <v/>
      </c>
      <c r="G428" s="33" t="str">
        <f aca="false">IF($A428="Seçildi",IF('2-Ders-Öğr.Elemanı Eşleştirme'!H143="","",'2-Ders-Öğr.Elemanı Eşleştirme'!H143),"")</f>
        <v/>
      </c>
      <c r="H428" s="35" t="n">
        <v>2</v>
      </c>
      <c r="I428" s="36"/>
      <c r="J428" s="36"/>
      <c r="K428" s="36"/>
      <c r="L428" s="36"/>
      <c r="M428" s="33" t="str">
        <f aca="false">IF($J428="","",MATCH($J428,{"08.00";"09.00";"10.00";"11.00";"12.00";"13.00";"14.00";"15.00";"16.00";"17.00"},0))</f>
        <v/>
      </c>
      <c r="N428" s="33" t="str">
        <f aca="false">IF(OR($M428="",$K428=""),"",$M428+$K428-1)</f>
        <v/>
      </c>
      <c r="O428" s="33" t="str">
        <f aca="false">IF($A428&lt;&gt;"Seçildi","",IF(OR($M428="",$N428=""),"",IF($N428&gt;10,"⚠ Saat Taşıyor","")))</f>
        <v/>
      </c>
      <c r="P428" s="33" t="str">
        <f aca="false">IF($A428&lt;&gt;"Seçildi","",IF(OR($G428="",$I428="",$M428=""),"",IF(SUMPRODUCT(($A$7:$A$456="Seçildi")*($G$7:$G$456=$G428)*($I$7:$I$456=$I428)*(ROW($A$7:$A$456)&lt;&gt;428)*($M$7:$M$456&lt;=$N428)*($N$7:$N$456&gt;=$M428))&gt;0,"⚠ Çakışma","OK")))</f>
        <v/>
      </c>
      <c r="Q428" s="33" t="str">
        <f aca="false">IF($A428&lt;&gt;"Seçildi","",IF(OR($L428="",$I428="",$M428=""),"",IF(SUMPRODUCT(($A$7:$A$456="Seçildi")*($L$7:$L$456=$L428)*($I$7:$I$456=$I428)*(ROW($A$7:$A$456)&lt;&gt;428)*($M$7:$M$456&lt;=$N428)*($N$7:$N$456&gt;=$M428))&gt;0,"⚠ Çakışma","OK")))</f>
        <v/>
      </c>
      <c r="R428" s="33" t="str">
        <f aca="false">IF($A428&lt;&gt;"Seçildi","",IF(OR($D428="",$I428="",$M428=""),"",IF(SUMPRODUCT(($A$7:$A$456="Seçildi")*($D$7:$D$456=$D428)*($I$7:$I$456=$I428)*(ROW($A$7:$A$456)&lt;&gt;428)*($M$7:$M$456&lt;=$N428)*($N$7:$N$456&gt;=$M428))&gt;0,"⚠ Çakışma","OK")))</f>
        <v/>
      </c>
      <c r="S428" s="33"/>
      <c r="T428" s="33" t="str">
        <f aca="false">IF(OR($A428&lt;&gt;"Seçildi",AND($I428="",$J428="")),"",IF(OR($O428&lt;&gt;"",$P428="⚠ Çakışma",$Q428="⚠ Çakışma",$R428="⚠ Çakışma"),"⚠ Kontrol Et","✓ Uygun"))</f>
        <v/>
      </c>
    </row>
    <row r="429" customFormat="false" ht="13.5" hidden="false" customHeight="true" outlineLevel="0" collapsed="false">
      <c r="A429" s="33" t="n">
        <f aca="false">'1-Ders Havuzu'!K143</f>
        <v>0</v>
      </c>
      <c r="B429" s="33" t="str">
        <f aca="false">IF($A429="Seçildi",IF('1-Ders Havuzu'!C143="","",'1-Ders Havuzu'!C143),"")</f>
        <v/>
      </c>
      <c r="C429" s="34" t="str">
        <f aca="false">IF($A429="Seçildi",IF('1-Ders Havuzu'!D143="","",'1-Ders Havuzu'!D143),"")</f>
        <v/>
      </c>
      <c r="D429" s="33" t="str">
        <f aca="false">IF($A429="Seçildi",IF('1-Ders Havuzu'!B143="","",'1-Ders Havuzu'!B143),"")</f>
        <v/>
      </c>
      <c r="E429" s="33" t="str">
        <f aca="false">IF($A429="Seçildi",IF('1-Ders Havuzu'!A143="","",'1-Ders Havuzu'!A143),"")</f>
        <v/>
      </c>
      <c r="F429" s="33" t="str">
        <f aca="false">IF($A429="Seçildi",IF('1-Ders Havuzu'!H143="","",'1-Ders Havuzu'!H143),"")</f>
        <v/>
      </c>
      <c r="G429" s="33" t="str">
        <f aca="false">IF($A429="Seçildi",IF('2-Ders-Öğr.Elemanı Eşleştirme'!H143="","",'2-Ders-Öğr.Elemanı Eşleştirme'!H143),"")</f>
        <v/>
      </c>
      <c r="H429" s="35" t="n">
        <v>3</v>
      </c>
      <c r="I429" s="36"/>
      <c r="J429" s="36"/>
      <c r="K429" s="36"/>
      <c r="L429" s="36"/>
      <c r="M429" s="33" t="str">
        <f aca="false">IF($J429="","",MATCH($J429,{"08.00";"09.00";"10.00";"11.00";"12.00";"13.00";"14.00";"15.00";"16.00";"17.00"},0))</f>
        <v/>
      </c>
      <c r="N429" s="33" t="str">
        <f aca="false">IF(OR($M429="",$K429=""),"",$M429+$K429-1)</f>
        <v/>
      </c>
      <c r="O429" s="33" t="str">
        <f aca="false">IF($A429&lt;&gt;"Seçildi","",IF(OR($M429="",$N429=""),"",IF($N429&gt;10,"⚠ Saat Taşıyor","")))</f>
        <v/>
      </c>
      <c r="P429" s="33" t="str">
        <f aca="false">IF($A429&lt;&gt;"Seçildi","",IF(OR($G429="",$I429="",$M429=""),"",IF(SUMPRODUCT(($A$7:$A$456="Seçildi")*($G$7:$G$456=$G429)*($I$7:$I$456=$I429)*(ROW($A$7:$A$456)&lt;&gt;429)*($M$7:$M$456&lt;=$N429)*($N$7:$N$456&gt;=$M429))&gt;0,"⚠ Çakışma","OK")))</f>
        <v/>
      </c>
      <c r="Q429" s="33" t="str">
        <f aca="false">IF($A429&lt;&gt;"Seçildi","",IF(OR($L429="",$I429="",$M429=""),"",IF(SUMPRODUCT(($A$7:$A$456="Seçildi")*($L$7:$L$456=$L429)*($I$7:$I$456=$I429)*(ROW($A$7:$A$456)&lt;&gt;429)*($M$7:$M$456&lt;=$N429)*($N$7:$N$456&gt;=$M429))&gt;0,"⚠ Çakışma","OK")))</f>
        <v/>
      </c>
      <c r="R429" s="33" t="str">
        <f aca="false">IF($A429&lt;&gt;"Seçildi","",IF(OR($D429="",$I429="",$M429=""),"",IF(SUMPRODUCT(($A$7:$A$456="Seçildi")*($D$7:$D$456=$D429)*($I$7:$I$456=$I429)*(ROW($A$7:$A$456)&lt;&gt;429)*($M$7:$M$456&lt;=$N429)*($N$7:$N$456&gt;=$M429))&gt;0,"⚠ Çakışma","OK")))</f>
        <v/>
      </c>
      <c r="S429" s="33"/>
      <c r="T429" s="33" t="str">
        <f aca="false">IF(OR($A429&lt;&gt;"Seçildi",AND($I429="",$J429="")),"",IF(OR($O429&lt;&gt;"",$P429="⚠ Çakışma",$Q429="⚠ Çakışma",$R429="⚠ Çakışma"),"⚠ Kontrol Et","✓ Uygun"))</f>
        <v/>
      </c>
    </row>
    <row r="430" customFormat="false" ht="13.5" hidden="false" customHeight="true" outlineLevel="0" collapsed="false">
      <c r="A430" s="37" t="n">
        <f aca="false">'1-Ders Havuzu'!K144</f>
        <v>0</v>
      </c>
      <c r="B430" s="37" t="str">
        <f aca="false">IF($A430="Seçildi",IF('1-Ders Havuzu'!C144="","",'1-Ders Havuzu'!C144),"")</f>
        <v/>
      </c>
      <c r="C430" s="38" t="str">
        <f aca="false">IF($A430="Seçildi",IF('1-Ders Havuzu'!D144="","",'1-Ders Havuzu'!D144),"")</f>
        <v/>
      </c>
      <c r="D430" s="37" t="str">
        <f aca="false">IF($A430="Seçildi",IF('1-Ders Havuzu'!B144="","",'1-Ders Havuzu'!B144),"")</f>
        <v/>
      </c>
      <c r="E430" s="37" t="str">
        <f aca="false">IF($A430="Seçildi",IF('1-Ders Havuzu'!A144="","",'1-Ders Havuzu'!A144),"")</f>
        <v/>
      </c>
      <c r="F430" s="37" t="str">
        <f aca="false">IF($A430="Seçildi",IF('1-Ders Havuzu'!H144="","",'1-Ders Havuzu'!H144),"")</f>
        <v/>
      </c>
      <c r="G430" s="37" t="str">
        <f aca="false">IF($A430="Seçildi",IF('2-Ders-Öğr.Elemanı Eşleştirme'!H144="","",'2-Ders-Öğr.Elemanı Eşleştirme'!H144),"")</f>
        <v/>
      </c>
      <c r="H430" s="39" t="n">
        <v>1</v>
      </c>
      <c r="I430" s="36"/>
      <c r="J430" s="36"/>
      <c r="K430" s="36"/>
      <c r="L430" s="36"/>
      <c r="M430" s="37" t="str">
        <f aca="false">IF($J430="","",MATCH($J430,{"08.00";"09.00";"10.00";"11.00";"12.00";"13.00";"14.00";"15.00";"16.00";"17.00"},0))</f>
        <v/>
      </c>
      <c r="N430" s="37" t="str">
        <f aca="false">IF(OR($M430="",$K430=""),"",$M430+$K430-1)</f>
        <v/>
      </c>
      <c r="O430" s="37" t="str">
        <f aca="false">IF($A430&lt;&gt;"Seçildi","",IF(OR($M430="",$N430=""),"",IF($N430&gt;10,"⚠ Saat Taşıyor","")))</f>
        <v/>
      </c>
      <c r="P430" s="37" t="str">
        <f aca="false">IF($A430&lt;&gt;"Seçildi","",IF(OR($G430="",$I430="",$M430=""),"",IF(SUMPRODUCT(($A$7:$A$456="Seçildi")*($G$7:$G$456=$G430)*($I$7:$I$456=$I430)*(ROW($A$7:$A$456)&lt;&gt;430)*($M$7:$M$456&lt;=$N430)*($N$7:$N$456&gt;=$M430))&gt;0,"⚠ Çakışma","OK")))</f>
        <v/>
      </c>
      <c r="Q430" s="37" t="str">
        <f aca="false">IF($A430&lt;&gt;"Seçildi","",IF(OR($L430="",$I430="",$M430=""),"",IF(SUMPRODUCT(($A$7:$A$456="Seçildi")*($L$7:$L$456=$L430)*($I$7:$I$456=$I430)*(ROW($A$7:$A$456)&lt;&gt;430)*($M$7:$M$456&lt;=$N430)*($N$7:$N$456&gt;=$M430))&gt;0,"⚠ Çakışma","OK")))</f>
        <v/>
      </c>
      <c r="R430" s="37" t="str">
        <f aca="false">IF($A430&lt;&gt;"Seçildi","",IF(OR($D430="",$I430="",$M430=""),"",IF(SUMPRODUCT(($A$7:$A$456="Seçildi")*($D$7:$D$456=$D430)*($I$7:$I$456=$I430)*(ROW($A$7:$A$456)&lt;&gt;430)*($M$7:$M$456&lt;=$N430)*($N$7:$N$456&gt;=$M430))&gt;0,"⚠ Çakışma","OK")))</f>
        <v/>
      </c>
      <c r="S430" s="37" t="str">
        <f aca="false">IF($A430&lt;&gt;"Seçildi","",IF(SUM($K430,$K431,$K432)&lt;&gt;$F430,"⚠ Dağılım: "&amp;SUM($K430:$K432)&amp;"/"&amp;$F430&amp;" saat","✓ Tamam"))</f>
        <v/>
      </c>
      <c r="T430" s="37" t="str">
        <f aca="false">IF($A430&lt;&gt;"Seçildi","",IF(OR($O430&lt;&gt;"",$P430="⚠ Çakışma",$Q430="⚠ Çakışma",$R430="⚠ Çakışma",LEFT($S430&amp;" ",1)="⚠"),"⚠ Kontrol Et","✓ Uygun"))</f>
        <v/>
      </c>
    </row>
    <row r="431" customFormat="false" ht="13.5" hidden="false" customHeight="true" outlineLevel="0" collapsed="false">
      <c r="A431" s="37" t="n">
        <f aca="false">'1-Ders Havuzu'!K144</f>
        <v>0</v>
      </c>
      <c r="B431" s="37" t="str">
        <f aca="false">IF($A431="Seçildi",IF('1-Ders Havuzu'!C144="","",'1-Ders Havuzu'!C144),"")</f>
        <v/>
      </c>
      <c r="C431" s="38" t="str">
        <f aca="false">IF($A431="Seçildi",IF('1-Ders Havuzu'!D144="","",'1-Ders Havuzu'!D144),"")</f>
        <v/>
      </c>
      <c r="D431" s="37" t="str">
        <f aca="false">IF($A431="Seçildi",IF('1-Ders Havuzu'!B144="","",'1-Ders Havuzu'!B144),"")</f>
        <v/>
      </c>
      <c r="E431" s="37" t="str">
        <f aca="false">IF($A431="Seçildi",IF('1-Ders Havuzu'!A144="","",'1-Ders Havuzu'!A144),"")</f>
        <v/>
      </c>
      <c r="F431" s="37" t="str">
        <f aca="false">IF($A431="Seçildi",IF('1-Ders Havuzu'!H144="","",'1-Ders Havuzu'!H144),"")</f>
        <v/>
      </c>
      <c r="G431" s="37" t="str">
        <f aca="false">IF($A431="Seçildi",IF('2-Ders-Öğr.Elemanı Eşleştirme'!H144="","",'2-Ders-Öğr.Elemanı Eşleştirme'!H144),"")</f>
        <v/>
      </c>
      <c r="H431" s="39" t="n">
        <v>2</v>
      </c>
      <c r="I431" s="36"/>
      <c r="J431" s="36"/>
      <c r="K431" s="36"/>
      <c r="L431" s="36"/>
      <c r="M431" s="37" t="str">
        <f aca="false">IF($J431="","",MATCH($J431,{"08.00";"09.00";"10.00";"11.00";"12.00";"13.00";"14.00";"15.00";"16.00";"17.00"},0))</f>
        <v/>
      </c>
      <c r="N431" s="37" t="str">
        <f aca="false">IF(OR($M431="",$K431=""),"",$M431+$K431-1)</f>
        <v/>
      </c>
      <c r="O431" s="37" t="str">
        <f aca="false">IF($A431&lt;&gt;"Seçildi","",IF(OR($M431="",$N431=""),"",IF($N431&gt;10,"⚠ Saat Taşıyor","")))</f>
        <v/>
      </c>
      <c r="P431" s="37" t="str">
        <f aca="false">IF($A431&lt;&gt;"Seçildi","",IF(OR($G431="",$I431="",$M431=""),"",IF(SUMPRODUCT(($A$7:$A$456="Seçildi")*($G$7:$G$456=$G431)*($I$7:$I$456=$I431)*(ROW($A$7:$A$456)&lt;&gt;431)*($M$7:$M$456&lt;=$N431)*($N$7:$N$456&gt;=$M431))&gt;0,"⚠ Çakışma","OK")))</f>
        <v/>
      </c>
      <c r="Q431" s="37" t="str">
        <f aca="false">IF($A431&lt;&gt;"Seçildi","",IF(OR($L431="",$I431="",$M431=""),"",IF(SUMPRODUCT(($A$7:$A$456="Seçildi")*($L$7:$L$456=$L431)*($I$7:$I$456=$I431)*(ROW($A$7:$A$456)&lt;&gt;431)*($M$7:$M$456&lt;=$N431)*($N$7:$N$456&gt;=$M431))&gt;0,"⚠ Çakışma","OK")))</f>
        <v/>
      </c>
      <c r="R431" s="37" t="str">
        <f aca="false">IF($A431&lt;&gt;"Seçildi","",IF(OR($D431="",$I431="",$M431=""),"",IF(SUMPRODUCT(($A$7:$A$456="Seçildi")*($D$7:$D$456=$D431)*($I$7:$I$456=$I431)*(ROW($A$7:$A$456)&lt;&gt;431)*($M$7:$M$456&lt;=$N431)*($N$7:$N$456&gt;=$M431))&gt;0,"⚠ Çakışma","OK")))</f>
        <v/>
      </c>
      <c r="S431" s="37"/>
      <c r="T431" s="37" t="str">
        <f aca="false">IF(OR($A431&lt;&gt;"Seçildi",AND($I431="",$J431="")),"",IF(OR($O431&lt;&gt;"",$P431="⚠ Çakışma",$Q431="⚠ Çakışma",$R431="⚠ Çakışma"),"⚠ Kontrol Et","✓ Uygun"))</f>
        <v/>
      </c>
    </row>
    <row r="432" customFormat="false" ht="13.5" hidden="false" customHeight="true" outlineLevel="0" collapsed="false">
      <c r="A432" s="37" t="n">
        <f aca="false">'1-Ders Havuzu'!K144</f>
        <v>0</v>
      </c>
      <c r="B432" s="37" t="str">
        <f aca="false">IF($A432="Seçildi",IF('1-Ders Havuzu'!C144="","",'1-Ders Havuzu'!C144),"")</f>
        <v/>
      </c>
      <c r="C432" s="38" t="str">
        <f aca="false">IF($A432="Seçildi",IF('1-Ders Havuzu'!D144="","",'1-Ders Havuzu'!D144),"")</f>
        <v/>
      </c>
      <c r="D432" s="37" t="str">
        <f aca="false">IF($A432="Seçildi",IF('1-Ders Havuzu'!B144="","",'1-Ders Havuzu'!B144),"")</f>
        <v/>
      </c>
      <c r="E432" s="37" t="str">
        <f aca="false">IF($A432="Seçildi",IF('1-Ders Havuzu'!A144="","",'1-Ders Havuzu'!A144),"")</f>
        <v/>
      </c>
      <c r="F432" s="37" t="str">
        <f aca="false">IF($A432="Seçildi",IF('1-Ders Havuzu'!H144="","",'1-Ders Havuzu'!H144),"")</f>
        <v/>
      </c>
      <c r="G432" s="37" t="str">
        <f aca="false">IF($A432="Seçildi",IF('2-Ders-Öğr.Elemanı Eşleştirme'!H144="","",'2-Ders-Öğr.Elemanı Eşleştirme'!H144),"")</f>
        <v/>
      </c>
      <c r="H432" s="39" t="n">
        <v>3</v>
      </c>
      <c r="I432" s="36"/>
      <c r="J432" s="36"/>
      <c r="K432" s="36"/>
      <c r="L432" s="36"/>
      <c r="M432" s="37" t="str">
        <f aca="false">IF($J432="","",MATCH($J432,{"08.00";"09.00";"10.00";"11.00";"12.00";"13.00";"14.00";"15.00";"16.00";"17.00"},0))</f>
        <v/>
      </c>
      <c r="N432" s="37" t="str">
        <f aca="false">IF(OR($M432="",$K432=""),"",$M432+$K432-1)</f>
        <v/>
      </c>
      <c r="O432" s="37" t="str">
        <f aca="false">IF($A432&lt;&gt;"Seçildi","",IF(OR($M432="",$N432=""),"",IF($N432&gt;10,"⚠ Saat Taşıyor","")))</f>
        <v/>
      </c>
      <c r="P432" s="37" t="str">
        <f aca="false">IF($A432&lt;&gt;"Seçildi","",IF(OR($G432="",$I432="",$M432=""),"",IF(SUMPRODUCT(($A$7:$A$456="Seçildi")*($G$7:$G$456=$G432)*($I$7:$I$456=$I432)*(ROW($A$7:$A$456)&lt;&gt;432)*($M$7:$M$456&lt;=$N432)*($N$7:$N$456&gt;=$M432))&gt;0,"⚠ Çakışma","OK")))</f>
        <v/>
      </c>
      <c r="Q432" s="37" t="str">
        <f aca="false">IF($A432&lt;&gt;"Seçildi","",IF(OR($L432="",$I432="",$M432=""),"",IF(SUMPRODUCT(($A$7:$A$456="Seçildi")*($L$7:$L$456=$L432)*($I$7:$I$456=$I432)*(ROW($A$7:$A$456)&lt;&gt;432)*($M$7:$M$456&lt;=$N432)*($N$7:$N$456&gt;=$M432))&gt;0,"⚠ Çakışma","OK")))</f>
        <v/>
      </c>
      <c r="R432" s="37" t="str">
        <f aca="false">IF($A432&lt;&gt;"Seçildi","",IF(OR($D432="",$I432="",$M432=""),"",IF(SUMPRODUCT(($A$7:$A$456="Seçildi")*($D$7:$D$456=$D432)*($I$7:$I$456=$I432)*(ROW($A$7:$A$456)&lt;&gt;432)*($M$7:$M$456&lt;=$N432)*($N$7:$N$456&gt;=$M432))&gt;0,"⚠ Çakışma","OK")))</f>
        <v/>
      </c>
      <c r="S432" s="37"/>
      <c r="T432" s="37" t="str">
        <f aca="false">IF(OR($A432&lt;&gt;"Seçildi",AND($I432="",$J432="")),"",IF(OR($O432&lt;&gt;"",$P432="⚠ Çakışma",$Q432="⚠ Çakışma",$R432="⚠ Çakışma"),"⚠ Kontrol Et","✓ Uygun"))</f>
        <v/>
      </c>
    </row>
    <row r="433" customFormat="false" ht="13.5" hidden="false" customHeight="true" outlineLevel="0" collapsed="false">
      <c r="A433" s="33" t="n">
        <f aca="false">'1-Ders Havuzu'!K145</f>
        <v>0</v>
      </c>
      <c r="B433" s="33" t="str">
        <f aca="false">IF($A433="Seçildi",IF('1-Ders Havuzu'!C145="","",'1-Ders Havuzu'!C145),"")</f>
        <v/>
      </c>
      <c r="C433" s="34" t="str">
        <f aca="false">IF($A433="Seçildi",IF('1-Ders Havuzu'!D145="","",'1-Ders Havuzu'!D145),"")</f>
        <v/>
      </c>
      <c r="D433" s="33" t="str">
        <f aca="false">IF($A433="Seçildi",IF('1-Ders Havuzu'!B145="","",'1-Ders Havuzu'!B145),"")</f>
        <v/>
      </c>
      <c r="E433" s="33" t="str">
        <f aca="false">IF($A433="Seçildi",IF('1-Ders Havuzu'!A145="","",'1-Ders Havuzu'!A145),"")</f>
        <v/>
      </c>
      <c r="F433" s="33" t="str">
        <f aca="false">IF($A433="Seçildi",IF('1-Ders Havuzu'!H145="","",'1-Ders Havuzu'!H145),"")</f>
        <v/>
      </c>
      <c r="G433" s="33" t="str">
        <f aca="false">IF($A433="Seçildi",IF('2-Ders-Öğr.Elemanı Eşleştirme'!H145="","",'2-Ders-Öğr.Elemanı Eşleştirme'!H145),"")</f>
        <v/>
      </c>
      <c r="H433" s="35" t="n">
        <v>1</v>
      </c>
      <c r="I433" s="36"/>
      <c r="J433" s="36"/>
      <c r="K433" s="36"/>
      <c r="L433" s="36"/>
      <c r="M433" s="33" t="str">
        <f aca="false">IF($J433="","",MATCH($J433,{"08.00";"09.00";"10.00";"11.00";"12.00";"13.00";"14.00";"15.00";"16.00";"17.00"},0))</f>
        <v/>
      </c>
      <c r="N433" s="33" t="str">
        <f aca="false">IF(OR($M433="",$K433=""),"",$M433+$K433-1)</f>
        <v/>
      </c>
      <c r="O433" s="33" t="str">
        <f aca="false">IF($A433&lt;&gt;"Seçildi","",IF(OR($M433="",$N433=""),"",IF($N433&gt;10,"⚠ Saat Taşıyor","")))</f>
        <v/>
      </c>
      <c r="P433" s="33" t="str">
        <f aca="false">IF($A433&lt;&gt;"Seçildi","",IF(OR($G433="",$I433="",$M433=""),"",IF(SUMPRODUCT(($A$7:$A$456="Seçildi")*($G$7:$G$456=$G433)*($I$7:$I$456=$I433)*(ROW($A$7:$A$456)&lt;&gt;433)*($M$7:$M$456&lt;=$N433)*($N$7:$N$456&gt;=$M433))&gt;0,"⚠ Çakışma","OK")))</f>
        <v/>
      </c>
      <c r="Q433" s="33" t="str">
        <f aca="false">IF($A433&lt;&gt;"Seçildi","",IF(OR($L433="",$I433="",$M433=""),"",IF(SUMPRODUCT(($A$7:$A$456="Seçildi")*($L$7:$L$456=$L433)*($I$7:$I$456=$I433)*(ROW($A$7:$A$456)&lt;&gt;433)*($M$7:$M$456&lt;=$N433)*($N$7:$N$456&gt;=$M433))&gt;0,"⚠ Çakışma","OK")))</f>
        <v/>
      </c>
      <c r="R433" s="33" t="str">
        <f aca="false">IF($A433&lt;&gt;"Seçildi","",IF(OR($D433="",$I433="",$M433=""),"",IF(SUMPRODUCT(($A$7:$A$456="Seçildi")*($D$7:$D$456=$D433)*($I$7:$I$456=$I433)*(ROW($A$7:$A$456)&lt;&gt;433)*($M$7:$M$456&lt;=$N433)*($N$7:$N$456&gt;=$M433))&gt;0,"⚠ Çakışma","OK")))</f>
        <v/>
      </c>
      <c r="S433" s="33" t="str">
        <f aca="false">IF($A433&lt;&gt;"Seçildi","",IF(SUM($K433,$K434,$K435)&lt;&gt;$F433,"⚠ Dağılım: "&amp;SUM($K433:$K435)&amp;"/"&amp;$F433&amp;" saat","✓ Tamam"))</f>
        <v/>
      </c>
      <c r="T433" s="33" t="str">
        <f aca="false">IF($A433&lt;&gt;"Seçildi","",IF(OR($O433&lt;&gt;"",$P433="⚠ Çakışma",$Q433="⚠ Çakışma",$R433="⚠ Çakışma",LEFT($S433&amp;" ",1)="⚠"),"⚠ Kontrol Et","✓ Uygun"))</f>
        <v/>
      </c>
    </row>
    <row r="434" customFormat="false" ht="13.5" hidden="false" customHeight="true" outlineLevel="0" collapsed="false">
      <c r="A434" s="33" t="n">
        <f aca="false">'1-Ders Havuzu'!K145</f>
        <v>0</v>
      </c>
      <c r="B434" s="33" t="str">
        <f aca="false">IF($A434="Seçildi",IF('1-Ders Havuzu'!C145="","",'1-Ders Havuzu'!C145),"")</f>
        <v/>
      </c>
      <c r="C434" s="34" t="str">
        <f aca="false">IF($A434="Seçildi",IF('1-Ders Havuzu'!D145="","",'1-Ders Havuzu'!D145),"")</f>
        <v/>
      </c>
      <c r="D434" s="33" t="str">
        <f aca="false">IF($A434="Seçildi",IF('1-Ders Havuzu'!B145="","",'1-Ders Havuzu'!B145),"")</f>
        <v/>
      </c>
      <c r="E434" s="33" t="str">
        <f aca="false">IF($A434="Seçildi",IF('1-Ders Havuzu'!A145="","",'1-Ders Havuzu'!A145),"")</f>
        <v/>
      </c>
      <c r="F434" s="33" t="str">
        <f aca="false">IF($A434="Seçildi",IF('1-Ders Havuzu'!H145="","",'1-Ders Havuzu'!H145),"")</f>
        <v/>
      </c>
      <c r="G434" s="33" t="str">
        <f aca="false">IF($A434="Seçildi",IF('2-Ders-Öğr.Elemanı Eşleştirme'!H145="","",'2-Ders-Öğr.Elemanı Eşleştirme'!H145),"")</f>
        <v/>
      </c>
      <c r="H434" s="35" t="n">
        <v>2</v>
      </c>
      <c r="I434" s="36"/>
      <c r="J434" s="36"/>
      <c r="K434" s="36"/>
      <c r="L434" s="36"/>
      <c r="M434" s="33" t="str">
        <f aca="false">IF($J434="","",MATCH($J434,{"08.00";"09.00";"10.00";"11.00";"12.00";"13.00";"14.00";"15.00";"16.00";"17.00"},0))</f>
        <v/>
      </c>
      <c r="N434" s="33" t="str">
        <f aca="false">IF(OR($M434="",$K434=""),"",$M434+$K434-1)</f>
        <v/>
      </c>
      <c r="O434" s="33" t="str">
        <f aca="false">IF($A434&lt;&gt;"Seçildi","",IF(OR($M434="",$N434=""),"",IF($N434&gt;10,"⚠ Saat Taşıyor","")))</f>
        <v/>
      </c>
      <c r="P434" s="33" t="str">
        <f aca="false">IF($A434&lt;&gt;"Seçildi","",IF(OR($G434="",$I434="",$M434=""),"",IF(SUMPRODUCT(($A$7:$A$456="Seçildi")*($G$7:$G$456=$G434)*($I$7:$I$456=$I434)*(ROW($A$7:$A$456)&lt;&gt;434)*($M$7:$M$456&lt;=$N434)*($N$7:$N$456&gt;=$M434))&gt;0,"⚠ Çakışma","OK")))</f>
        <v/>
      </c>
      <c r="Q434" s="33" t="str">
        <f aca="false">IF($A434&lt;&gt;"Seçildi","",IF(OR($L434="",$I434="",$M434=""),"",IF(SUMPRODUCT(($A$7:$A$456="Seçildi")*($L$7:$L$456=$L434)*($I$7:$I$456=$I434)*(ROW($A$7:$A$456)&lt;&gt;434)*($M$7:$M$456&lt;=$N434)*($N$7:$N$456&gt;=$M434))&gt;0,"⚠ Çakışma","OK")))</f>
        <v/>
      </c>
      <c r="R434" s="33" t="str">
        <f aca="false">IF($A434&lt;&gt;"Seçildi","",IF(OR($D434="",$I434="",$M434=""),"",IF(SUMPRODUCT(($A$7:$A$456="Seçildi")*($D$7:$D$456=$D434)*($I$7:$I$456=$I434)*(ROW($A$7:$A$456)&lt;&gt;434)*($M$7:$M$456&lt;=$N434)*($N$7:$N$456&gt;=$M434))&gt;0,"⚠ Çakışma","OK")))</f>
        <v/>
      </c>
      <c r="S434" s="33"/>
      <c r="T434" s="33" t="str">
        <f aca="false">IF(OR($A434&lt;&gt;"Seçildi",AND($I434="",$J434="")),"",IF(OR($O434&lt;&gt;"",$P434="⚠ Çakışma",$Q434="⚠ Çakışma",$R434="⚠ Çakışma"),"⚠ Kontrol Et","✓ Uygun"))</f>
        <v/>
      </c>
    </row>
    <row r="435" customFormat="false" ht="13.5" hidden="false" customHeight="true" outlineLevel="0" collapsed="false">
      <c r="A435" s="33" t="n">
        <f aca="false">'1-Ders Havuzu'!K145</f>
        <v>0</v>
      </c>
      <c r="B435" s="33" t="str">
        <f aca="false">IF($A435="Seçildi",IF('1-Ders Havuzu'!C145="","",'1-Ders Havuzu'!C145),"")</f>
        <v/>
      </c>
      <c r="C435" s="34" t="str">
        <f aca="false">IF($A435="Seçildi",IF('1-Ders Havuzu'!D145="","",'1-Ders Havuzu'!D145),"")</f>
        <v/>
      </c>
      <c r="D435" s="33" t="str">
        <f aca="false">IF($A435="Seçildi",IF('1-Ders Havuzu'!B145="","",'1-Ders Havuzu'!B145),"")</f>
        <v/>
      </c>
      <c r="E435" s="33" t="str">
        <f aca="false">IF($A435="Seçildi",IF('1-Ders Havuzu'!A145="","",'1-Ders Havuzu'!A145),"")</f>
        <v/>
      </c>
      <c r="F435" s="33" t="str">
        <f aca="false">IF($A435="Seçildi",IF('1-Ders Havuzu'!H145="","",'1-Ders Havuzu'!H145),"")</f>
        <v/>
      </c>
      <c r="G435" s="33" t="str">
        <f aca="false">IF($A435="Seçildi",IF('2-Ders-Öğr.Elemanı Eşleştirme'!H145="","",'2-Ders-Öğr.Elemanı Eşleştirme'!H145),"")</f>
        <v/>
      </c>
      <c r="H435" s="35" t="n">
        <v>3</v>
      </c>
      <c r="I435" s="36"/>
      <c r="J435" s="36"/>
      <c r="K435" s="36"/>
      <c r="L435" s="36"/>
      <c r="M435" s="33" t="str">
        <f aca="false">IF($J435="","",MATCH($J435,{"08.00";"09.00";"10.00";"11.00";"12.00";"13.00";"14.00";"15.00";"16.00";"17.00"},0))</f>
        <v/>
      </c>
      <c r="N435" s="33" t="str">
        <f aca="false">IF(OR($M435="",$K435=""),"",$M435+$K435-1)</f>
        <v/>
      </c>
      <c r="O435" s="33" t="str">
        <f aca="false">IF($A435&lt;&gt;"Seçildi","",IF(OR($M435="",$N435=""),"",IF($N435&gt;10,"⚠ Saat Taşıyor","")))</f>
        <v/>
      </c>
      <c r="P435" s="33" t="str">
        <f aca="false">IF($A435&lt;&gt;"Seçildi","",IF(OR($G435="",$I435="",$M435=""),"",IF(SUMPRODUCT(($A$7:$A$456="Seçildi")*($G$7:$G$456=$G435)*($I$7:$I$456=$I435)*(ROW($A$7:$A$456)&lt;&gt;435)*($M$7:$M$456&lt;=$N435)*($N$7:$N$456&gt;=$M435))&gt;0,"⚠ Çakışma","OK")))</f>
        <v/>
      </c>
      <c r="Q435" s="33" t="str">
        <f aca="false">IF($A435&lt;&gt;"Seçildi","",IF(OR($L435="",$I435="",$M435=""),"",IF(SUMPRODUCT(($A$7:$A$456="Seçildi")*($L$7:$L$456=$L435)*($I$7:$I$456=$I435)*(ROW($A$7:$A$456)&lt;&gt;435)*($M$7:$M$456&lt;=$N435)*($N$7:$N$456&gt;=$M435))&gt;0,"⚠ Çakışma","OK")))</f>
        <v/>
      </c>
      <c r="R435" s="33" t="str">
        <f aca="false">IF($A435&lt;&gt;"Seçildi","",IF(OR($D435="",$I435="",$M435=""),"",IF(SUMPRODUCT(($A$7:$A$456="Seçildi")*($D$7:$D$456=$D435)*($I$7:$I$456=$I435)*(ROW($A$7:$A$456)&lt;&gt;435)*($M$7:$M$456&lt;=$N435)*($N$7:$N$456&gt;=$M435))&gt;0,"⚠ Çakışma","OK")))</f>
        <v/>
      </c>
      <c r="S435" s="33"/>
      <c r="T435" s="33" t="str">
        <f aca="false">IF(OR($A435&lt;&gt;"Seçildi",AND($I435="",$J435="")),"",IF(OR($O435&lt;&gt;"",$P435="⚠ Çakışma",$Q435="⚠ Çakışma",$R435="⚠ Çakışma"),"⚠ Kontrol Et","✓ Uygun"))</f>
        <v/>
      </c>
    </row>
    <row r="436" customFormat="false" ht="13.5" hidden="false" customHeight="true" outlineLevel="0" collapsed="false">
      <c r="A436" s="37" t="n">
        <f aca="false">'1-Ders Havuzu'!K146</f>
        <v>0</v>
      </c>
      <c r="B436" s="37" t="str">
        <f aca="false">IF($A436="Seçildi",IF('1-Ders Havuzu'!C146="","",'1-Ders Havuzu'!C146),"")</f>
        <v/>
      </c>
      <c r="C436" s="38" t="str">
        <f aca="false">IF($A436="Seçildi",IF('1-Ders Havuzu'!D146="","",'1-Ders Havuzu'!D146),"")</f>
        <v/>
      </c>
      <c r="D436" s="37" t="str">
        <f aca="false">IF($A436="Seçildi",IF('1-Ders Havuzu'!B146="","",'1-Ders Havuzu'!B146),"")</f>
        <v/>
      </c>
      <c r="E436" s="37" t="str">
        <f aca="false">IF($A436="Seçildi",IF('1-Ders Havuzu'!A146="","",'1-Ders Havuzu'!A146),"")</f>
        <v/>
      </c>
      <c r="F436" s="37" t="str">
        <f aca="false">IF($A436="Seçildi",IF('1-Ders Havuzu'!H146="","",'1-Ders Havuzu'!H146),"")</f>
        <v/>
      </c>
      <c r="G436" s="37" t="str">
        <f aca="false">IF($A436="Seçildi",IF('2-Ders-Öğr.Elemanı Eşleştirme'!H146="","",'2-Ders-Öğr.Elemanı Eşleştirme'!H146),"")</f>
        <v/>
      </c>
      <c r="H436" s="39" t="n">
        <v>1</v>
      </c>
      <c r="I436" s="36"/>
      <c r="J436" s="36"/>
      <c r="K436" s="36"/>
      <c r="L436" s="36"/>
      <c r="M436" s="37" t="str">
        <f aca="false">IF($J436="","",MATCH($J436,{"08.00";"09.00";"10.00";"11.00";"12.00";"13.00";"14.00";"15.00";"16.00";"17.00"},0))</f>
        <v/>
      </c>
      <c r="N436" s="37" t="str">
        <f aca="false">IF(OR($M436="",$K436=""),"",$M436+$K436-1)</f>
        <v/>
      </c>
      <c r="O436" s="37" t="str">
        <f aca="false">IF($A436&lt;&gt;"Seçildi","",IF(OR($M436="",$N436=""),"",IF($N436&gt;10,"⚠ Saat Taşıyor","")))</f>
        <v/>
      </c>
      <c r="P436" s="37" t="str">
        <f aca="false">IF($A436&lt;&gt;"Seçildi","",IF(OR($G436="",$I436="",$M436=""),"",IF(SUMPRODUCT(($A$7:$A$456="Seçildi")*($G$7:$G$456=$G436)*($I$7:$I$456=$I436)*(ROW($A$7:$A$456)&lt;&gt;436)*($M$7:$M$456&lt;=$N436)*($N$7:$N$456&gt;=$M436))&gt;0,"⚠ Çakışma","OK")))</f>
        <v/>
      </c>
      <c r="Q436" s="37" t="str">
        <f aca="false">IF($A436&lt;&gt;"Seçildi","",IF(OR($L436="",$I436="",$M436=""),"",IF(SUMPRODUCT(($A$7:$A$456="Seçildi")*($L$7:$L$456=$L436)*($I$7:$I$456=$I436)*(ROW($A$7:$A$456)&lt;&gt;436)*($M$7:$M$456&lt;=$N436)*($N$7:$N$456&gt;=$M436))&gt;0,"⚠ Çakışma","OK")))</f>
        <v/>
      </c>
      <c r="R436" s="37" t="str">
        <f aca="false">IF($A436&lt;&gt;"Seçildi","",IF(OR($D436="",$I436="",$M436=""),"",IF(SUMPRODUCT(($A$7:$A$456="Seçildi")*($D$7:$D$456=$D436)*($I$7:$I$456=$I436)*(ROW($A$7:$A$456)&lt;&gt;436)*($M$7:$M$456&lt;=$N436)*($N$7:$N$456&gt;=$M436))&gt;0,"⚠ Çakışma","OK")))</f>
        <v/>
      </c>
      <c r="S436" s="37" t="str">
        <f aca="false">IF($A436&lt;&gt;"Seçildi","",IF(SUM($K436,$K437,$K438)&lt;&gt;$F436,"⚠ Dağılım: "&amp;SUM($K436:$K438)&amp;"/"&amp;$F436&amp;" saat","✓ Tamam"))</f>
        <v/>
      </c>
      <c r="T436" s="37" t="str">
        <f aca="false">IF($A436&lt;&gt;"Seçildi","",IF(OR($O436&lt;&gt;"",$P436="⚠ Çakışma",$Q436="⚠ Çakışma",$R436="⚠ Çakışma",LEFT($S436&amp;" ",1)="⚠"),"⚠ Kontrol Et","✓ Uygun"))</f>
        <v/>
      </c>
    </row>
    <row r="437" customFormat="false" ht="13.5" hidden="false" customHeight="true" outlineLevel="0" collapsed="false">
      <c r="A437" s="37" t="n">
        <f aca="false">'1-Ders Havuzu'!K146</f>
        <v>0</v>
      </c>
      <c r="B437" s="37" t="str">
        <f aca="false">IF($A437="Seçildi",IF('1-Ders Havuzu'!C146="","",'1-Ders Havuzu'!C146),"")</f>
        <v/>
      </c>
      <c r="C437" s="38" t="str">
        <f aca="false">IF($A437="Seçildi",IF('1-Ders Havuzu'!D146="","",'1-Ders Havuzu'!D146),"")</f>
        <v/>
      </c>
      <c r="D437" s="37" t="str">
        <f aca="false">IF($A437="Seçildi",IF('1-Ders Havuzu'!B146="","",'1-Ders Havuzu'!B146),"")</f>
        <v/>
      </c>
      <c r="E437" s="37" t="str">
        <f aca="false">IF($A437="Seçildi",IF('1-Ders Havuzu'!A146="","",'1-Ders Havuzu'!A146),"")</f>
        <v/>
      </c>
      <c r="F437" s="37" t="str">
        <f aca="false">IF($A437="Seçildi",IF('1-Ders Havuzu'!H146="","",'1-Ders Havuzu'!H146),"")</f>
        <v/>
      </c>
      <c r="G437" s="37" t="str">
        <f aca="false">IF($A437="Seçildi",IF('2-Ders-Öğr.Elemanı Eşleştirme'!H146="","",'2-Ders-Öğr.Elemanı Eşleştirme'!H146),"")</f>
        <v/>
      </c>
      <c r="H437" s="39" t="n">
        <v>2</v>
      </c>
      <c r="I437" s="36"/>
      <c r="J437" s="36"/>
      <c r="K437" s="36"/>
      <c r="L437" s="36"/>
      <c r="M437" s="37" t="str">
        <f aca="false">IF($J437="","",MATCH($J437,{"08.00";"09.00";"10.00";"11.00";"12.00";"13.00";"14.00";"15.00";"16.00";"17.00"},0))</f>
        <v/>
      </c>
      <c r="N437" s="37" t="str">
        <f aca="false">IF(OR($M437="",$K437=""),"",$M437+$K437-1)</f>
        <v/>
      </c>
      <c r="O437" s="37" t="str">
        <f aca="false">IF($A437&lt;&gt;"Seçildi","",IF(OR($M437="",$N437=""),"",IF($N437&gt;10,"⚠ Saat Taşıyor","")))</f>
        <v/>
      </c>
      <c r="P437" s="37" t="str">
        <f aca="false">IF($A437&lt;&gt;"Seçildi","",IF(OR($G437="",$I437="",$M437=""),"",IF(SUMPRODUCT(($A$7:$A$456="Seçildi")*($G$7:$G$456=$G437)*($I$7:$I$456=$I437)*(ROW($A$7:$A$456)&lt;&gt;437)*($M$7:$M$456&lt;=$N437)*($N$7:$N$456&gt;=$M437))&gt;0,"⚠ Çakışma","OK")))</f>
        <v/>
      </c>
      <c r="Q437" s="37" t="str">
        <f aca="false">IF($A437&lt;&gt;"Seçildi","",IF(OR($L437="",$I437="",$M437=""),"",IF(SUMPRODUCT(($A$7:$A$456="Seçildi")*($L$7:$L$456=$L437)*($I$7:$I$456=$I437)*(ROW($A$7:$A$456)&lt;&gt;437)*($M$7:$M$456&lt;=$N437)*($N$7:$N$456&gt;=$M437))&gt;0,"⚠ Çakışma","OK")))</f>
        <v/>
      </c>
      <c r="R437" s="37" t="str">
        <f aca="false">IF($A437&lt;&gt;"Seçildi","",IF(OR($D437="",$I437="",$M437=""),"",IF(SUMPRODUCT(($A$7:$A$456="Seçildi")*($D$7:$D$456=$D437)*($I$7:$I$456=$I437)*(ROW($A$7:$A$456)&lt;&gt;437)*($M$7:$M$456&lt;=$N437)*($N$7:$N$456&gt;=$M437))&gt;0,"⚠ Çakışma","OK")))</f>
        <v/>
      </c>
      <c r="S437" s="37"/>
      <c r="T437" s="37" t="str">
        <f aca="false">IF(OR($A437&lt;&gt;"Seçildi",AND($I437="",$J437="")),"",IF(OR($O437&lt;&gt;"",$P437="⚠ Çakışma",$Q437="⚠ Çakışma",$R437="⚠ Çakışma"),"⚠ Kontrol Et","✓ Uygun"))</f>
        <v/>
      </c>
    </row>
    <row r="438" customFormat="false" ht="13.5" hidden="false" customHeight="true" outlineLevel="0" collapsed="false">
      <c r="A438" s="37" t="n">
        <f aca="false">'1-Ders Havuzu'!K146</f>
        <v>0</v>
      </c>
      <c r="B438" s="37" t="str">
        <f aca="false">IF($A438="Seçildi",IF('1-Ders Havuzu'!C146="","",'1-Ders Havuzu'!C146),"")</f>
        <v/>
      </c>
      <c r="C438" s="38" t="str">
        <f aca="false">IF($A438="Seçildi",IF('1-Ders Havuzu'!D146="","",'1-Ders Havuzu'!D146),"")</f>
        <v/>
      </c>
      <c r="D438" s="37" t="str">
        <f aca="false">IF($A438="Seçildi",IF('1-Ders Havuzu'!B146="","",'1-Ders Havuzu'!B146),"")</f>
        <v/>
      </c>
      <c r="E438" s="37" t="str">
        <f aca="false">IF($A438="Seçildi",IF('1-Ders Havuzu'!A146="","",'1-Ders Havuzu'!A146),"")</f>
        <v/>
      </c>
      <c r="F438" s="37" t="str">
        <f aca="false">IF($A438="Seçildi",IF('1-Ders Havuzu'!H146="","",'1-Ders Havuzu'!H146),"")</f>
        <v/>
      </c>
      <c r="G438" s="37" t="str">
        <f aca="false">IF($A438="Seçildi",IF('2-Ders-Öğr.Elemanı Eşleştirme'!H146="","",'2-Ders-Öğr.Elemanı Eşleştirme'!H146),"")</f>
        <v/>
      </c>
      <c r="H438" s="39" t="n">
        <v>3</v>
      </c>
      <c r="I438" s="36"/>
      <c r="J438" s="36"/>
      <c r="K438" s="36"/>
      <c r="L438" s="36"/>
      <c r="M438" s="37" t="str">
        <f aca="false">IF($J438="","",MATCH($J438,{"08.00";"09.00";"10.00";"11.00";"12.00";"13.00";"14.00";"15.00";"16.00";"17.00"},0))</f>
        <v/>
      </c>
      <c r="N438" s="37" t="str">
        <f aca="false">IF(OR($M438="",$K438=""),"",$M438+$K438-1)</f>
        <v/>
      </c>
      <c r="O438" s="37" t="str">
        <f aca="false">IF($A438&lt;&gt;"Seçildi","",IF(OR($M438="",$N438=""),"",IF($N438&gt;10,"⚠ Saat Taşıyor","")))</f>
        <v/>
      </c>
      <c r="P438" s="37" t="str">
        <f aca="false">IF($A438&lt;&gt;"Seçildi","",IF(OR($G438="",$I438="",$M438=""),"",IF(SUMPRODUCT(($A$7:$A$456="Seçildi")*($G$7:$G$456=$G438)*($I$7:$I$456=$I438)*(ROW($A$7:$A$456)&lt;&gt;438)*($M$7:$M$456&lt;=$N438)*($N$7:$N$456&gt;=$M438))&gt;0,"⚠ Çakışma","OK")))</f>
        <v/>
      </c>
      <c r="Q438" s="37" t="str">
        <f aca="false">IF($A438&lt;&gt;"Seçildi","",IF(OR($L438="",$I438="",$M438=""),"",IF(SUMPRODUCT(($A$7:$A$456="Seçildi")*($L$7:$L$456=$L438)*($I$7:$I$456=$I438)*(ROW($A$7:$A$456)&lt;&gt;438)*($M$7:$M$456&lt;=$N438)*($N$7:$N$456&gt;=$M438))&gt;0,"⚠ Çakışma","OK")))</f>
        <v/>
      </c>
      <c r="R438" s="37" t="str">
        <f aca="false">IF($A438&lt;&gt;"Seçildi","",IF(OR($D438="",$I438="",$M438=""),"",IF(SUMPRODUCT(($A$7:$A$456="Seçildi")*($D$7:$D$456=$D438)*($I$7:$I$456=$I438)*(ROW($A$7:$A$456)&lt;&gt;438)*($M$7:$M$456&lt;=$N438)*($N$7:$N$456&gt;=$M438))&gt;0,"⚠ Çakışma","OK")))</f>
        <v/>
      </c>
      <c r="S438" s="37"/>
      <c r="T438" s="37" t="str">
        <f aca="false">IF(OR($A438&lt;&gt;"Seçildi",AND($I438="",$J438="")),"",IF(OR($O438&lt;&gt;"",$P438="⚠ Çakışma",$Q438="⚠ Çakışma",$R438="⚠ Çakışma"),"⚠ Kontrol Et","✓ Uygun"))</f>
        <v/>
      </c>
    </row>
    <row r="439" customFormat="false" ht="13.5" hidden="false" customHeight="true" outlineLevel="0" collapsed="false">
      <c r="A439" s="33" t="n">
        <f aca="false">'1-Ders Havuzu'!K147</f>
        <v>0</v>
      </c>
      <c r="B439" s="33" t="str">
        <f aca="false">IF($A439="Seçildi",IF('1-Ders Havuzu'!C147="","",'1-Ders Havuzu'!C147),"")</f>
        <v/>
      </c>
      <c r="C439" s="34" t="str">
        <f aca="false">IF($A439="Seçildi",IF('1-Ders Havuzu'!D147="","",'1-Ders Havuzu'!D147),"")</f>
        <v/>
      </c>
      <c r="D439" s="33" t="str">
        <f aca="false">IF($A439="Seçildi",IF('1-Ders Havuzu'!B147="","",'1-Ders Havuzu'!B147),"")</f>
        <v/>
      </c>
      <c r="E439" s="33" t="str">
        <f aca="false">IF($A439="Seçildi",IF('1-Ders Havuzu'!A147="","",'1-Ders Havuzu'!A147),"")</f>
        <v/>
      </c>
      <c r="F439" s="33" t="str">
        <f aca="false">IF($A439="Seçildi",IF('1-Ders Havuzu'!H147="","",'1-Ders Havuzu'!H147),"")</f>
        <v/>
      </c>
      <c r="G439" s="33" t="str">
        <f aca="false">IF($A439="Seçildi",IF('2-Ders-Öğr.Elemanı Eşleştirme'!H147="","",'2-Ders-Öğr.Elemanı Eşleştirme'!H147),"")</f>
        <v/>
      </c>
      <c r="H439" s="35" t="n">
        <v>1</v>
      </c>
      <c r="I439" s="36"/>
      <c r="J439" s="36"/>
      <c r="K439" s="36"/>
      <c r="L439" s="36"/>
      <c r="M439" s="33" t="str">
        <f aca="false">IF($J439="","",MATCH($J439,{"08.00";"09.00";"10.00";"11.00";"12.00";"13.00";"14.00";"15.00";"16.00";"17.00"},0))</f>
        <v/>
      </c>
      <c r="N439" s="33" t="str">
        <f aca="false">IF(OR($M439="",$K439=""),"",$M439+$K439-1)</f>
        <v/>
      </c>
      <c r="O439" s="33" t="str">
        <f aca="false">IF($A439&lt;&gt;"Seçildi","",IF(OR($M439="",$N439=""),"",IF($N439&gt;10,"⚠ Saat Taşıyor","")))</f>
        <v/>
      </c>
      <c r="P439" s="33" t="str">
        <f aca="false">IF($A439&lt;&gt;"Seçildi","",IF(OR($G439="",$I439="",$M439=""),"",IF(SUMPRODUCT(($A$7:$A$456="Seçildi")*($G$7:$G$456=$G439)*($I$7:$I$456=$I439)*(ROW($A$7:$A$456)&lt;&gt;439)*($M$7:$M$456&lt;=$N439)*($N$7:$N$456&gt;=$M439))&gt;0,"⚠ Çakışma","OK")))</f>
        <v/>
      </c>
      <c r="Q439" s="33" t="str">
        <f aca="false">IF($A439&lt;&gt;"Seçildi","",IF(OR($L439="",$I439="",$M439=""),"",IF(SUMPRODUCT(($A$7:$A$456="Seçildi")*($L$7:$L$456=$L439)*($I$7:$I$456=$I439)*(ROW($A$7:$A$456)&lt;&gt;439)*($M$7:$M$456&lt;=$N439)*($N$7:$N$456&gt;=$M439))&gt;0,"⚠ Çakışma","OK")))</f>
        <v/>
      </c>
      <c r="R439" s="33" t="str">
        <f aca="false">IF($A439&lt;&gt;"Seçildi","",IF(OR($D439="",$I439="",$M439=""),"",IF(SUMPRODUCT(($A$7:$A$456="Seçildi")*($D$7:$D$456=$D439)*($I$7:$I$456=$I439)*(ROW($A$7:$A$456)&lt;&gt;439)*($M$7:$M$456&lt;=$N439)*($N$7:$N$456&gt;=$M439))&gt;0,"⚠ Çakışma","OK")))</f>
        <v/>
      </c>
      <c r="S439" s="33" t="str">
        <f aca="false">IF($A439&lt;&gt;"Seçildi","",IF(SUM($K439,$K440,$K441)&lt;&gt;$F439,"⚠ Dağılım: "&amp;SUM($K439:$K441)&amp;"/"&amp;$F439&amp;" saat","✓ Tamam"))</f>
        <v/>
      </c>
      <c r="T439" s="33" t="str">
        <f aca="false">IF($A439&lt;&gt;"Seçildi","",IF(OR($O439&lt;&gt;"",$P439="⚠ Çakışma",$Q439="⚠ Çakışma",$R439="⚠ Çakışma",LEFT($S439&amp;" ",1)="⚠"),"⚠ Kontrol Et","✓ Uygun"))</f>
        <v/>
      </c>
    </row>
    <row r="440" customFormat="false" ht="13.5" hidden="false" customHeight="true" outlineLevel="0" collapsed="false">
      <c r="A440" s="33" t="n">
        <f aca="false">'1-Ders Havuzu'!K147</f>
        <v>0</v>
      </c>
      <c r="B440" s="33" t="str">
        <f aca="false">IF($A440="Seçildi",IF('1-Ders Havuzu'!C147="","",'1-Ders Havuzu'!C147),"")</f>
        <v/>
      </c>
      <c r="C440" s="34" t="str">
        <f aca="false">IF($A440="Seçildi",IF('1-Ders Havuzu'!D147="","",'1-Ders Havuzu'!D147),"")</f>
        <v/>
      </c>
      <c r="D440" s="33" t="str">
        <f aca="false">IF($A440="Seçildi",IF('1-Ders Havuzu'!B147="","",'1-Ders Havuzu'!B147),"")</f>
        <v/>
      </c>
      <c r="E440" s="33" t="str">
        <f aca="false">IF($A440="Seçildi",IF('1-Ders Havuzu'!A147="","",'1-Ders Havuzu'!A147),"")</f>
        <v/>
      </c>
      <c r="F440" s="33" t="str">
        <f aca="false">IF($A440="Seçildi",IF('1-Ders Havuzu'!H147="","",'1-Ders Havuzu'!H147),"")</f>
        <v/>
      </c>
      <c r="G440" s="33" t="str">
        <f aca="false">IF($A440="Seçildi",IF('2-Ders-Öğr.Elemanı Eşleştirme'!H147="","",'2-Ders-Öğr.Elemanı Eşleştirme'!H147),"")</f>
        <v/>
      </c>
      <c r="H440" s="35" t="n">
        <v>2</v>
      </c>
      <c r="I440" s="36"/>
      <c r="J440" s="36"/>
      <c r="K440" s="36"/>
      <c r="L440" s="36"/>
      <c r="M440" s="33" t="str">
        <f aca="false">IF($J440="","",MATCH($J440,{"08.00";"09.00";"10.00";"11.00";"12.00";"13.00";"14.00";"15.00";"16.00";"17.00"},0))</f>
        <v/>
      </c>
      <c r="N440" s="33" t="str">
        <f aca="false">IF(OR($M440="",$K440=""),"",$M440+$K440-1)</f>
        <v/>
      </c>
      <c r="O440" s="33" t="str">
        <f aca="false">IF($A440&lt;&gt;"Seçildi","",IF(OR($M440="",$N440=""),"",IF($N440&gt;10,"⚠ Saat Taşıyor","")))</f>
        <v/>
      </c>
      <c r="P440" s="33" t="str">
        <f aca="false">IF($A440&lt;&gt;"Seçildi","",IF(OR($G440="",$I440="",$M440=""),"",IF(SUMPRODUCT(($A$7:$A$456="Seçildi")*($G$7:$G$456=$G440)*($I$7:$I$456=$I440)*(ROW($A$7:$A$456)&lt;&gt;440)*($M$7:$M$456&lt;=$N440)*($N$7:$N$456&gt;=$M440))&gt;0,"⚠ Çakışma","OK")))</f>
        <v/>
      </c>
      <c r="Q440" s="33" t="str">
        <f aca="false">IF($A440&lt;&gt;"Seçildi","",IF(OR($L440="",$I440="",$M440=""),"",IF(SUMPRODUCT(($A$7:$A$456="Seçildi")*($L$7:$L$456=$L440)*($I$7:$I$456=$I440)*(ROW($A$7:$A$456)&lt;&gt;440)*($M$7:$M$456&lt;=$N440)*($N$7:$N$456&gt;=$M440))&gt;0,"⚠ Çakışma","OK")))</f>
        <v/>
      </c>
      <c r="R440" s="33" t="str">
        <f aca="false">IF($A440&lt;&gt;"Seçildi","",IF(OR($D440="",$I440="",$M440=""),"",IF(SUMPRODUCT(($A$7:$A$456="Seçildi")*($D$7:$D$456=$D440)*($I$7:$I$456=$I440)*(ROW($A$7:$A$456)&lt;&gt;440)*($M$7:$M$456&lt;=$N440)*($N$7:$N$456&gt;=$M440))&gt;0,"⚠ Çakışma","OK")))</f>
        <v/>
      </c>
      <c r="S440" s="33"/>
      <c r="T440" s="33" t="str">
        <f aca="false">IF(OR($A440&lt;&gt;"Seçildi",AND($I440="",$J440="")),"",IF(OR($O440&lt;&gt;"",$P440="⚠ Çakışma",$Q440="⚠ Çakışma",$R440="⚠ Çakışma"),"⚠ Kontrol Et","✓ Uygun"))</f>
        <v/>
      </c>
    </row>
    <row r="441" customFormat="false" ht="13.5" hidden="false" customHeight="true" outlineLevel="0" collapsed="false">
      <c r="A441" s="33" t="n">
        <f aca="false">'1-Ders Havuzu'!K147</f>
        <v>0</v>
      </c>
      <c r="B441" s="33" t="str">
        <f aca="false">IF($A441="Seçildi",IF('1-Ders Havuzu'!C147="","",'1-Ders Havuzu'!C147),"")</f>
        <v/>
      </c>
      <c r="C441" s="34" t="str">
        <f aca="false">IF($A441="Seçildi",IF('1-Ders Havuzu'!D147="","",'1-Ders Havuzu'!D147),"")</f>
        <v/>
      </c>
      <c r="D441" s="33" t="str">
        <f aca="false">IF($A441="Seçildi",IF('1-Ders Havuzu'!B147="","",'1-Ders Havuzu'!B147),"")</f>
        <v/>
      </c>
      <c r="E441" s="33" t="str">
        <f aca="false">IF($A441="Seçildi",IF('1-Ders Havuzu'!A147="","",'1-Ders Havuzu'!A147),"")</f>
        <v/>
      </c>
      <c r="F441" s="33" t="str">
        <f aca="false">IF($A441="Seçildi",IF('1-Ders Havuzu'!H147="","",'1-Ders Havuzu'!H147),"")</f>
        <v/>
      </c>
      <c r="G441" s="33" t="str">
        <f aca="false">IF($A441="Seçildi",IF('2-Ders-Öğr.Elemanı Eşleştirme'!H147="","",'2-Ders-Öğr.Elemanı Eşleştirme'!H147),"")</f>
        <v/>
      </c>
      <c r="H441" s="35" t="n">
        <v>3</v>
      </c>
      <c r="I441" s="36"/>
      <c r="J441" s="36"/>
      <c r="K441" s="36"/>
      <c r="L441" s="36"/>
      <c r="M441" s="33" t="str">
        <f aca="false">IF($J441="","",MATCH($J441,{"08.00";"09.00";"10.00";"11.00";"12.00";"13.00";"14.00";"15.00";"16.00";"17.00"},0))</f>
        <v/>
      </c>
      <c r="N441" s="33" t="str">
        <f aca="false">IF(OR($M441="",$K441=""),"",$M441+$K441-1)</f>
        <v/>
      </c>
      <c r="O441" s="33" t="str">
        <f aca="false">IF($A441&lt;&gt;"Seçildi","",IF(OR($M441="",$N441=""),"",IF($N441&gt;10,"⚠ Saat Taşıyor","")))</f>
        <v/>
      </c>
      <c r="P441" s="33" t="str">
        <f aca="false">IF($A441&lt;&gt;"Seçildi","",IF(OR($G441="",$I441="",$M441=""),"",IF(SUMPRODUCT(($A$7:$A$456="Seçildi")*($G$7:$G$456=$G441)*($I$7:$I$456=$I441)*(ROW($A$7:$A$456)&lt;&gt;441)*($M$7:$M$456&lt;=$N441)*($N$7:$N$456&gt;=$M441))&gt;0,"⚠ Çakışma","OK")))</f>
        <v/>
      </c>
      <c r="Q441" s="33" t="str">
        <f aca="false">IF($A441&lt;&gt;"Seçildi","",IF(OR($L441="",$I441="",$M441=""),"",IF(SUMPRODUCT(($A$7:$A$456="Seçildi")*($L$7:$L$456=$L441)*($I$7:$I$456=$I441)*(ROW($A$7:$A$456)&lt;&gt;441)*($M$7:$M$456&lt;=$N441)*($N$7:$N$456&gt;=$M441))&gt;0,"⚠ Çakışma","OK")))</f>
        <v/>
      </c>
      <c r="R441" s="33" t="str">
        <f aca="false">IF($A441&lt;&gt;"Seçildi","",IF(OR($D441="",$I441="",$M441=""),"",IF(SUMPRODUCT(($A$7:$A$456="Seçildi")*($D$7:$D$456=$D441)*($I$7:$I$456=$I441)*(ROW($A$7:$A$456)&lt;&gt;441)*($M$7:$M$456&lt;=$N441)*($N$7:$N$456&gt;=$M441))&gt;0,"⚠ Çakışma","OK")))</f>
        <v/>
      </c>
      <c r="S441" s="33"/>
      <c r="T441" s="33" t="str">
        <f aca="false">IF(OR($A441&lt;&gt;"Seçildi",AND($I441="",$J441="")),"",IF(OR($O441&lt;&gt;"",$P441="⚠ Çakışma",$Q441="⚠ Çakışma",$R441="⚠ Çakışma"),"⚠ Kontrol Et","✓ Uygun"))</f>
        <v/>
      </c>
    </row>
    <row r="442" customFormat="false" ht="13.5" hidden="false" customHeight="true" outlineLevel="0" collapsed="false">
      <c r="A442" s="37" t="n">
        <f aca="false">'1-Ders Havuzu'!K148</f>
        <v>0</v>
      </c>
      <c r="B442" s="37" t="str">
        <f aca="false">IF($A442="Seçildi",IF('1-Ders Havuzu'!C148="","",'1-Ders Havuzu'!C148),"")</f>
        <v/>
      </c>
      <c r="C442" s="38" t="str">
        <f aca="false">IF($A442="Seçildi",IF('1-Ders Havuzu'!D148="","",'1-Ders Havuzu'!D148),"")</f>
        <v/>
      </c>
      <c r="D442" s="37" t="str">
        <f aca="false">IF($A442="Seçildi",IF('1-Ders Havuzu'!B148="","",'1-Ders Havuzu'!B148),"")</f>
        <v/>
      </c>
      <c r="E442" s="37" t="str">
        <f aca="false">IF($A442="Seçildi",IF('1-Ders Havuzu'!A148="","",'1-Ders Havuzu'!A148),"")</f>
        <v/>
      </c>
      <c r="F442" s="37" t="str">
        <f aca="false">IF($A442="Seçildi",IF('1-Ders Havuzu'!H148="","",'1-Ders Havuzu'!H148),"")</f>
        <v/>
      </c>
      <c r="G442" s="37" t="str">
        <f aca="false">IF($A442="Seçildi",IF('2-Ders-Öğr.Elemanı Eşleştirme'!H148="","",'2-Ders-Öğr.Elemanı Eşleştirme'!H148),"")</f>
        <v/>
      </c>
      <c r="H442" s="39" t="n">
        <v>1</v>
      </c>
      <c r="I442" s="36"/>
      <c r="J442" s="36"/>
      <c r="K442" s="36"/>
      <c r="L442" s="36"/>
      <c r="M442" s="37" t="str">
        <f aca="false">IF($J442="","",MATCH($J442,{"08.00";"09.00";"10.00";"11.00";"12.00";"13.00";"14.00";"15.00";"16.00";"17.00"},0))</f>
        <v/>
      </c>
      <c r="N442" s="37" t="str">
        <f aca="false">IF(OR($M442="",$K442=""),"",$M442+$K442-1)</f>
        <v/>
      </c>
      <c r="O442" s="37" t="str">
        <f aca="false">IF($A442&lt;&gt;"Seçildi","",IF(OR($M442="",$N442=""),"",IF($N442&gt;10,"⚠ Saat Taşıyor","")))</f>
        <v/>
      </c>
      <c r="P442" s="37" t="str">
        <f aca="false">IF($A442&lt;&gt;"Seçildi","",IF(OR($G442="",$I442="",$M442=""),"",IF(SUMPRODUCT(($A$7:$A$456="Seçildi")*($G$7:$G$456=$G442)*($I$7:$I$456=$I442)*(ROW($A$7:$A$456)&lt;&gt;442)*($M$7:$M$456&lt;=$N442)*($N$7:$N$456&gt;=$M442))&gt;0,"⚠ Çakışma","OK")))</f>
        <v/>
      </c>
      <c r="Q442" s="37" t="str">
        <f aca="false">IF($A442&lt;&gt;"Seçildi","",IF(OR($L442="",$I442="",$M442=""),"",IF(SUMPRODUCT(($A$7:$A$456="Seçildi")*($L$7:$L$456=$L442)*($I$7:$I$456=$I442)*(ROW($A$7:$A$456)&lt;&gt;442)*($M$7:$M$456&lt;=$N442)*($N$7:$N$456&gt;=$M442))&gt;0,"⚠ Çakışma","OK")))</f>
        <v/>
      </c>
      <c r="R442" s="37" t="str">
        <f aca="false">IF($A442&lt;&gt;"Seçildi","",IF(OR($D442="",$I442="",$M442=""),"",IF(SUMPRODUCT(($A$7:$A$456="Seçildi")*($D$7:$D$456=$D442)*($I$7:$I$456=$I442)*(ROW($A$7:$A$456)&lt;&gt;442)*($M$7:$M$456&lt;=$N442)*($N$7:$N$456&gt;=$M442))&gt;0,"⚠ Çakışma","OK")))</f>
        <v/>
      </c>
      <c r="S442" s="37" t="str">
        <f aca="false">IF($A442&lt;&gt;"Seçildi","",IF(SUM($K442,$K443,$K444)&lt;&gt;$F442,"⚠ Dağılım: "&amp;SUM($K442:$K444)&amp;"/"&amp;$F442&amp;" saat","✓ Tamam"))</f>
        <v/>
      </c>
      <c r="T442" s="37" t="str">
        <f aca="false">IF($A442&lt;&gt;"Seçildi","",IF(OR($O442&lt;&gt;"",$P442="⚠ Çakışma",$Q442="⚠ Çakışma",$R442="⚠ Çakışma",LEFT($S442&amp;" ",1)="⚠"),"⚠ Kontrol Et","✓ Uygun"))</f>
        <v/>
      </c>
    </row>
    <row r="443" customFormat="false" ht="13.5" hidden="false" customHeight="true" outlineLevel="0" collapsed="false">
      <c r="A443" s="37" t="n">
        <f aca="false">'1-Ders Havuzu'!K148</f>
        <v>0</v>
      </c>
      <c r="B443" s="37" t="str">
        <f aca="false">IF($A443="Seçildi",IF('1-Ders Havuzu'!C148="","",'1-Ders Havuzu'!C148),"")</f>
        <v/>
      </c>
      <c r="C443" s="38" t="str">
        <f aca="false">IF($A443="Seçildi",IF('1-Ders Havuzu'!D148="","",'1-Ders Havuzu'!D148),"")</f>
        <v/>
      </c>
      <c r="D443" s="37" t="str">
        <f aca="false">IF($A443="Seçildi",IF('1-Ders Havuzu'!B148="","",'1-Ders Havuzu'!B148),"")</f>
        <v/>
      </c>
      <c r="E443" s="37" t="str">
        <f aca="false">IF($A443="Seçildi",IF('1-Ders Havuzu'!A148="","",'1-Ders Havuzu'!A148),"")</f>
        <v/>
      </c>
      <c r="F443" s="37" t="str">
        <f aca="false">IF($A443="Seçildi",IF('1-Ders Havuzu'!H148="","",'1-Ders Havuzu'!H148),"")</f>
        <v/>
      </c>
      <c r="G443" s="37" t="str">
        <f aca="false">IF($A443="Seçildi",IF('2-Ders-Öğr.Elemanı Eşleştirme'!H148="","",'2-Ders-Öğr.Elemanı Eşleştirme'!H148),"")</f>
        <v/>
      </c>
      <c r="H443" s="39" t="n">
        <v>2</v>
      </c>
      <c r="I443" s="36"/>
      <c r="J443" s="36"/>
      <c r="K443" s="36"/>
      <c r="L443" s="36"/>
      <c r="M443" s="37" t="str">
        <f aca="false">IF($J443="","",MATCH($J443,{"08.00";"09.00";"10.00";"11.00";"12.00";"13.00";"14.00";"15.00";"16.00";"17.00"},0))</f>
        <v/>
      </c>
      <c r="N443" s="37" t="str">
        <f aca="false">IF(OR($M443="",$K443=""),"",$M443+$K443-1)</f>
        <v/>
      </c>
      <c r="O443" s="37" t="str">
        <f aca="false">IF($A443&lt;&gt;"Seçildi","",IF(OR($M443="",$N443=""),"",IF($N443&gt;10,"⚠ Saat Taşıyor","")))</f>
        <v/>
      </c>
      <c r="P443" s="37" t="str">
        <f aca="false">IF($A443&lt;&gt;"Seçildi","",IF(OR($G443="",$I443="",$M443=""),"",IF(SUMPRODUCT(($A$7:$A$456="Seçildi")*($G$7:$G$456=$G443)*($I$7:$I$456=$I443)*(ROW($A$7:$A$456)&lt;&gt;443)*($M$7:$M$456&lt;=$N443)*($N$7:$N$456&gt;=$M443))&gt;0,"⚠ Çakışma","OK")))</f>
        <v/>
      </c>
      <c r="Q443" s="37" t="str">
        <f aca="false">IF($A443&lt;&gt;"Seçildi","",IF(OR($L443="",$I443="",$M443=""),"",IF(SUMPRODUCT(($A$7:$A$456="Seçildi")*($L$7:$L$456=$L443)*($I$7:$I$456=$I443)*(ROW($A$7:$A$456)&lt;&gt;443)*($M$7:$M$456&lt;=$N443)*($N$7:$N$456&gt;=$M443))&gt;0,"⚠ Çakışma","OK")))</f>
        <v/>
      </c>
      <c r="R443" s="37" t="str">
        <f aca="false">IF($A443&lt;&gt;"Seçildi","",IF(OR($D443="",$I443="",$M443=""),"",IF(SUMPRODUCT(($A$7:$A$456="Seçildi")*($D$7:$D$456=$D443)*($I$7:$I$456=$I443)*(ROW($A$7:$A$456)&lt;&gt;443)*($M$7:$M$456&lt;=$N443)*($N$7:$N$456&gt;=$M443))&gt;0,"⚠ Çakışma","OK")))</f>
        <v/>
      </c>
      <c r="S443" s="37"/>
      <c r="T443" s="37" t="str">
        <f aca="false">IF(OR($A443&lt;&gt;"Seçildi",AND($I443="",$J443="")),"",IF(OR($O443&lt;&gt;"",$P443="⚠ Çakışma",$Q443="⚠ Çakışma",$R443="⚠ Çakışma"),"⚠ Kontrol Et","✓ Uygun"))</f>
        <v/>
      </c>
    </row>
    <row r="444" customFormat="false" ht="13.5" hidden="false" customHeight="true" outlineLevel="0" collapsed="false">
      <c r="A444" s="37" t="n">
        <f aca="false">'1-Ders Havuzu'!K148</f>
        <v>0</v>
      </c>
      <c r="B444" s="37" t="str">
        <f aca="false">IF($A444="Seçildi",IF('1-Ders Havuzu'!C148="","",'1-Ders Havuzu'!C148),"")</f>
        <v/>
      </c>
      <c r="C444" s="38" t="str">
        <f aca="false">IF($A444="Seçildi",IF('1-Ders Havuzu'!D148="","",'1-Ders Havuzu'!D148),"")</f>
        <v/>
      </c>
      <c r="D444" s="37" t="str">
        <f aca="false">IF($A444="Seçildi",IF('1-Ders Havuzu'!B148="","",'1-Ders Havuzu'!B148),"")</f>
        <v/>
      </c>
      <c r="E444" s="37" t="str">
        <f aca="false">IF($A444="Seçildi",IF('1-Ders Havuzu'!A148="","",'1-Ders Havuzu'!A148),"")</f>
        <v/>
      </c>
      <c r="F444" s="37" t="str">
        <f aca="false">IF($A444="Seçildi",IF('1-Ders Havuzu'!H148="","",'1-Ders Havuzu'!H148),"")</f>
        <v/>
      </c>
      <c r="G444" s="37" t="str">
        <f aca="false">IF($A444="Seçildi",IF('2-Ders-Öğr.Elemanı Eşleştirme'!H148="","",'2-Ders-Öğr.Elemanı Eşleştirme'!H148),"")</f>
        <v/>
      </c>
      <c r="H444" s="39" t="n">
        <v>3</v>
      </c>
      <c r="I444" s="36"/>
      <c r="J444" s="36"/>
      <c r="K444" s="36"/>
      <c r="L444" s="36"/>
      <c r="M444" s="37" t="str">
        <f aca="false">IF($J444="","",MATCH($J444,{"08.00";"09.00";"10.00";"11.00";"12.00";"13.00";"14.00";"15.00";"16.00";"17.00"},0))</f>
        <v/>
      </c>
      <c r="N444" s="37" t="str">
        <f aca="false">IF(OR($M444="",$K444=""),"",$M444+$K444-1)</f>
        <v/>
      </c>
      <c r="O444" s="37" t="str">
        <f aca="false">IF($A444&lt;&gt;"Seçildi","",IF(OR($M444="",$N444=""),"",IF($N444&gt;10,"⚠ Saat Taşıyor","")))</f>
        <v/>
      </c>
      <c r="P444" s="37" t="str">
        <f aca="false">IF($A444&lt;&gt;"Seçildi","",IF(OR($G444="",$I444="",$M444=""),"",IF(SUMPRODUCT(($A$7:$A$456="Seçildi")*($G$7:$G$456=$G444)*($I$7:$I$456=$I444)*(ROW($A$7:$A$456)&lt;&gt;444)*($M$7:$M$456&lt;=$N444)*($N$7:$N$456&gt;=$M444))&gt;0,"⚠ Çakışma","OK")))</f>
        <v/>
      </c>
      <c r="Q444" s="37" t="str">
        <f aca="false">IF($A444&lt;&gt;"Seçildi","",IF(OR($L444="",$I444="",$M444=""),"",IF(SUMPRODUCT(($A$7:$A$456="Seçildi")*($L$7:$L$456=$L444)*($I$7:$I$456=$I444)*(ROW($A$7:$A$456)&lt;&gt;444)*($M$7:$M$456&lt;=$N444)*($N$7:$N$456&gt;=$M444))&gt;0,"⚠ Çakışma","OK")))</f>
        <v/>
      </c>
      <c r="R444" s="37" t="str">
        <f aca="false">IF($A444&lt;&gt;"Seçildi","",IF(OR($D444="",$I444="",$M444=""),"",IF(SUMPRODUCT(($A$7:$A$456="Seçildi")*($D$7:$D$456=$D444)*($I$7:$I$456=$I444)*(ROW($A$7:$A$456)&lt;&gt;444)*($M$7:$M$456&lt;=$N444)*($N$7:$N$456&gt;=$M444))&gt;0,"⚠ Çakışma","OK")))</f>
        <v/>
      </c>
      <c r="S444" s="37"/>
      <c r="T444" s="37" t="str">
        <f aca="false">IF(OR($A444&lt;&gt;"Seçildi",AND($I444="",$J444="")),"",IF(OR($O444&lt;&gt;"",$P444="⚠ Çakışma",$Q444="⚠ Çakışma",$R444="⚠ Çakışma"),"⚠ Kontrol Et","✓ Uygun"))</f>
        <v/>
      </c>
    </row>
    <row r="445" customFormat="false" ht="13.5" hidden="false" customHeight="true" outlineLevel="0" collapsed="false">
      <c r="A445" s="33" t="n">
        <f aca="false">'1-Ders Havuzu'!K149</f>
        <v>0</v>
      </c>
      <c r="B445" s="33" t="str">
        <f aca="false">IF($A445="Seçildi",IF('1-Ders Havuzu'!C149="","",'1-Ders Havuzu'!C149),"")</f>
        <v/>
      </c>
      <c r="C445" s="34" t="str">
        <f aca="false">IF($A445="Seçildi",IF('1-Ders Havuzu'!D149="","",'1-Ders Havuzu'!D149),"")</f>
        <v/>
      </c>
      <c r="D445" s="33" t="str">
        <f aca="false">IF($A445="Seçildi",IF('1-Ders Havuzu'!B149="","",'1-Ders Havuzu'!B149),"")</f>
        <v/>
      </c>
      <c r="E445" s="33" t="str">
        <f aca="false">IF($A445="Seçildi",IF('1-Ders Havuzu'!A149="","",'1-Ders Havuzu'!A149),"")</f>
        <v/>
      </c>
      <c r="F445" s="33" t="str">
        <f aca="false">IF($A445="Seçildi",IF('1-Ders Havuzu'!H149="","",'1-Ders Havuzu'!H149),"")</f>
        <v/>
      </c>
      <c r="G445" s="33" t="str">
        <f aca="false">IF($A445="Seçildi",IF('2-Ders-Öğr.Elemanı Eşleştirme'!H149="","",'2-Ders-Öğr.Elemanı Eşleştirme'!H149),"")</f>
        <v/>
      </c>
      <c r="H445" s="35" t="n">
        <v>1</v>
      </c>
      <c r="I445" s="36"/>
      <c r="J445" s="36"/>
      <c r="K445" s="36"/>
      <c r="L445" s="36"/>
      <c r="M445" s="33" t="str">
        <f aca="false">IF($J445="","",MATCH($J445,{"08.00";"09.00";"10.00";"11.00";"12.00";"13.00";"14.00";"15.00";"16.00";"17.00"},0))</f>
        <v/>
      </c>
      <c r="N445" s="33" t="str">
        <f aca="false">IF(OR($M445="",$K445=""),"",$M445+$K445-1)</f>
        <v/>
      </c>
      <c r="O445" s="33" t="str">
        <f aca="false">IF($A445&lt;&gt;"Seçildi","",IF(OR($M445="",$N445=""),"",IF($N445&gt;10,"⚠ Saat Taşıyor","")))</f>
        <v/>
      </c>
      <c r="P445" s="33" t="str">
        <f aca="false">IF($A445&lt;&gt;"Seçildi","",IF(OR($G445="",$I445="",$M445=""),"",IF(SUMPRODUCT(($A$7:$A$456="Seçildi")*($G$7:$G$456=$G445)*($I$7:$I$456=$I445)*(ROW($A$7:$A$456)&lt;&gt;445)*($M$7:$M$456&lt;=$N445)*($N$7:$N$456&gt;=$M445))&gt;0,"⚠ Çakışma","OK")))</f>
        <v/>
      </c>
      <c r="Q445" s="33" t="str">
        <f aca="false">IF($A445&lt;&gt;"Seçildi","",IF(OR($L445="",$I445="",$M445=""),"",IF(SUMPRODUCT(($A$7:$A$456="Seçildi")*($L$7:$L$456=$L445)*($I$7:$I$456=$I445)*(ROW($A$7:$A$456)&lt;&gt;445)*($M$7:$M$456&lt;=$N445)*($N$7:$N$456&gt;=$M445))&gt;0,"⚠ Çakışma","OK")))</f>
        <v/>
      </c>
      <c r="R445" s="33" t="str">
        <f aca="false">IF($A445&lt;&gt;"Seçildi","",IF(OR($D445="",$I445="",$M445=""),"",IF(SUMPRODUCT(($A$7:$A$456="Seçildi")*($D$7:$D$456=$D445)*($I$7:$I$456=$I445)*(ROW($A$7:$A$456)&lt;&gt;445)*($M$7:$M$456&lt;=$N445)*($N$7:$N$456&gt;=$M445))&gt;0,"⚠ Çakışma","OK")))</f>
        <v/>
      </c>
      <c r="S445" s="33" t="str">
        <f aca="false">IF($A445&lt;&gt;"Seçildi","",IF(SUM($K445,$K446,$K447)&lt;&gt;$F445,"⚠ Dağılım: "&amp;SUM($K445:$K447)&amp;"/"&amp;$F445&amp;" saat","✓ Tamam"))</f>
        <v/>
      </c>
      <c r="T445" s="33" t="str">
        <f aca="false">IF($A445&lt;&gt;"Seçildi","",IF(OR($O445&lt;&gt;"",$P445="⚠ Çakışma",$Q445="⚠ Çakışma",$R445="⚠ Çakışma",LEFT($S445&amp;" ",1)="⚠"),"⚠ Kontrol Et","✓ Uygun"))</f>
        <v/>
      </c>
    </row>
    <row r="446" customFormat="false" ht="13.5" hidden="false" customHeight="true" outlineLevel="0" collapsed="false">
      <c r="A446" s="33" t="n">
        <f aca="false">'1-Ders Havuzu'!K149</f>
        <v>0</v>
      </c>
      <c r="B446" s="33" t="str">
        <f aca="false">IF($A446="Seçildi",IF('1-Ders Havuzu'!C149="","",'1-Ders Havuzu'!C149),"")</f>
        <v/>
      </c>
      <c r="C446" s="34" t="str">
        <f aca="false">IF($A446="Seçildi",IF('1-Ders Havuzu'!D149="","",'1-Ders Havuzu'!D149),"")</f>
        <v/>
      </c>
      <c r="D446" s="33" t="str">
        <f aca="false">IF($A446="Seçildi",IF('1-Ders Havuzu'!B149="","",'1-Ders Havuzu'!B149),"")</f>
        <v/>
      </c>
      <c r="E446" s="33" t="str">
        <f aca="false">IF($A446="Seçildi",IF('1-Ders Havuzu'!A149="","",'1-Ders Havuzu'!A149),"")</f>
        <v/>
      </c>
      <c r="F446" s="33" t="str">
        <f aca="false">IF($A446="Seçildi",IF('1-Ders Havuzu'!H149="","",'1-Ders Havuzu'!H149),"")</f>
        <v/>
      </c>
      <c r="G446" s="33" t="str">
        <f aca="false">IF($A446="Seçildi",IF('2-Ders-Öğr.Elemanı Eşleştirme'!H149="","",'2-Ders-Öğr.Elemanı Eşleştirme'!H149),"")</f>
        <v/>
      </c>
      <c r="H446" s="35" t="n">
        <v>2</v>
      </c>
      <c r="I446" s="36"/>
      <c r="J446" s="36"/>
      <c r="K446" s="36"/>
      <c r="L446" s="36"/>
      <c r="M446" s="33" t="str">
        <f aca="false">IF($J446="","",MATCH($J446,{"08.00";"09.00";"10.00";"11.00";"12.00";"13.00";"14.00";"15.00";"16.00";"17.00"},0))</f>
        <v/>
      </c>
      <c r="N446" s="33" t="str">
        <f aca="false">IF(OR($M446="",$K446=""),"",$M446+$K446-1)</f>
        <v/>
      </c>
      <c r="O446" s="33" t="str">
        <f aca="false">IF($A446&lt;&gt;"Seçildi","",IF(OR($M446="",$N446=""),"",IF($N446&gt;10,"⚠ Saat Taşıyor","")))</f>
        <v/>
      </c>
      <c r="P446" s="33" t="str">
        <f aca="false">IF($A446&lt;&gt;"Seçildi","",IF(OR($G446="",$I446="",$M446=""),"",IF(SUMPRODUCT(($A$7:$A$456="Seçildi")*($G$7:$G$456=$G446)*($I$7:$I$456=$I446)*(ROW($A$7:$A$456)&lt;&gt;446)*($M$7:$M$456&lt;=$N446)*($N$7:$N$456&gt;=$M446))&gt;0,"⚠ Çakışma","OK")))</f>
        <v/>
      </c>
      <c r="Q446" s="33" t="str">
        <f aca="false">IF($A446&lt;&gt;"Seçildi","",IF(OR($L446="",$I446="",$M446=""),"",IF(SUMPRODUCT(($A$7:$A$456="Seçildi")*($L$7:$L$456=$L446)*($I$7:$I$456=$I446)*(ROW($A$7:$A$456)&lt;&gt;446)*($M$7:$M$456&lt;=$N446)*($N$7:$N$456&gt;=$M446))&gt;0,"⚠ Çakışma","OK")))</f>
        <v/>
      </c>
      <c r="R446" s="33" t="str">
        <f aca="false">IF($A446&lt;&gt;"Seçildi","",IF(OR($D446="",$I446="",$M446=""),"",IF(SUMPRODUCT(($A$7:$A$456="Seçildi")*($D$7:$D$456=$D446)*($I$7:$I$456=$I446)*(ROW($A$7:$A$456)&lt;&gt;446)*($M$7:$M$456&lt;=$N446)*($N$7:$N$456&gt;=$M446))&gt;0,"⚠ Çakışma","OK")))</f>
        <v/>
      </c>
      <c r="S446" s="33"/>
      <c r="T446" s="33" t="str">
        <f aca="false">IF(OR($A446&lt;&gt;"Seçildi",AND($I446="",$J446="")),"",IF(OR($O446&lt;&gt;"",$P446="⚠ Çakışma",$Q446="⚠ Çakışma",$R446="⚠ Çakışma"),"⚠ Kontrol Et","✓ Uygun"))</f>
        <v/>
      </c>
    </row>
    <row r="447" customFormat="false" ht="13.5" hidden="false" customHeight="true" outlineLevel="0" collapsed="false">
      <c r="A447" s="33" t="n">
        <f aca="false">'1-Ders Havuzu'!K149</f>
        <v>0</v>
      </c>
      <c r="B447" s="33" t="str">
        <f aca="false">IF($A447="Seçildi",IF('1-Ders Havuzu'!C149="","",'1-Ders Havuzu'!C149),"")</f>
        <v/>
      </c>
      <c r="C447" s="34" t="str">
        <f aca="false">IF($A447="Seçildi",IF('1-Ders Havuzu'!D149="","",'1-Ders Havuzu'!D149),"")</f>
        <v/>
      </c>
      <c r="D447" s="33" t="str">
        <f aca="false">IF($A447="Seçildi",IF('1-Ders Havuzu'!B149="","",'1-Ders Havuzu'!B149),"")</f>
        <v/>
      </c>
      <c r="E447" s="33" t="str">
        <f aca="false">IF($A447="Seçildi",IF('1-Ders Havuzu'!A149="","",'1-Ders Havuzu'!A149),"")</f>
        <v/>
      </c>
      <c r="F447" s="33" t="str">
        <f aca="false">IF($A447="Seçildi",IF('1-Ders Havuzu'!H149="","",'1-Ders Havuzu'!H149),"")</f>
        <v/>
      </c>
      <c r="G447" s="33" t="str">
        <f aca="false">IF($A447="Seçildi",IF('2-Ders-Öğr.Elemanı Eşleştirme'!H149="","",'2-Ders-Öğr.Elemanı Eşleştirme'!H149),"")</f>
        <v/>
      </c>
      <c r="H447" s="35" t="n">
        <v>3</v>
      </c>
      <c r="I447" s="36"/>
      <c r="J447" s="36"/>
      <c r="K447" s="36"/>
      <c r="L447" s="36"/>
      <c r="M447" s="33" t="str">
        <f aca="false">IF($J447="","",MATCH($J447,{"08.00";"09.00";"10.00";"11.00";"12.00";"13.00";"14.00";"15.00";"16.00";"17.00"},0))</f>
        <v/>
      </c>
      <c r="N447" s="33" t="str">
        <f aca="false">IF(OR($M447="",$K447=""),"",$M447+$K447-1)</f>
        <v/>
      </c>
      <c r="O447" s="33" t="str">
        <f aca="false">IF($A447&lt;&gt;"Seçildi","",IF(OR($M447="",$N447=""),"",IF($N447&gt;10,"⚠ Saat Taşıyor","")))</f>
        <v/>
      </c>
      <c r="P447" s="33" t="str">
        <f aca="false">IF($A447&lt;&gt;"Seçildi","",IF(OR($G447="",$I447="",$M447=""),"",IF(SUMPRODUCT(($A$7:$A$456="Seçildi")*($G$7:$G$456=$G447)*($I$7:$I$456=$I447)*(ROW($A$7:$A$456)&lt;&gt;447)*($M$7:$M$456&lt;=$N447)*($N$7:$N$456&gt;=$M447))&gt;0,"⚠ Çakışma","OK")))</f>
        <v/>
      </c>
      <c r="Q447" s="33" t="str">
        <f aca="false">IF($A447&lt;&gt;"Seçildi","",IF(OR($L447="",$I447="",$M447=""),"",IF(SUMPRODUCT(($A$7:$A$456="Seçildi")*($L$7:$L$456=$L447)*($I$7:$I$456=$I447)*(ROW($A$7:$A$456)&lt;&gt;447)*($M$7:$M$456&lt;=$N447)*($N$7:$N$456&gt;=$M447))&gt;0,"⚠ Çakışma","OK")))</f>
        <v/>
      </c>
      <c r="R447" s="33" t="str">
        <f aca="false">IF($A447&lt;&gt;"Seçildi","",IF(OR($D447="",$I447="",$M447=""),"",IF(SUMPRODUCT(($A$7:$A$456="Seçildi")*($D$7:$D$456=$D447)*($I$7:$I$456=$I447)*(ROW($A$7:$A$456)&lt;&gt;447)*($M$7:$M$456&lt;=$N447)*($N$7:$N$456&gt;=$M447))&gt;0,"⚠ Çakışma","OK")))</f>
        <v/>
      </c>
      <c r="S447" s="33"/>
      <c r="T447" s="33" t="str">
        <f aca="false">IF(OR($A447&lt;&gt;"Seçildi",AND($I447="",$J447="")),"",IF(OR($O447&lt;&gt;"",$P447="⚠ Çakışma",$Q447="⚠ Çakışma",$R447="⚠ Çakışma"),"⚠ Kontrol Et","✓ Uygun"))</f>
        <v/>
      </c>
    </row>
    <row r="448" customFormat="false" ht="13.5" hidden="false" customHeight="true" outlineLevel="0" collapsed="false">
      <c r="A448" s="37" t="n">
        <f aca="false">'1-Ders Havuzu'!K150</f>
        <v>0</v>
      </c>
      <c r="B448" s="37" t="str">
        <f aca="false">IF($A448="Seçildi",IF('1-Ders Havuzu'!C150="","",'1-Ders Havuzu'!C150),"")</f>
        <v/>
      </c>
      <c r="C448" s="38" t="str">
        <f aca="false">IF($A448="Seçildi",IF('1-Ders Havuzu'!D150="","",'1-Ders Havuzu'!D150),"")</f>
        <v/>
      </c>
      <c r="D448" s="37" t="str">
        <f aca="false">IF($A448="Seçildi",IF('1-Ders Havuzu'!B150="","",'1-Ders Havuzu'!B150),"")</f>
        <v/>
      </c>
      <c r="E448" s="37" t="str">
        <f aca="false">IF($A448="Seçildi",IF('1-Ders Havuzu'!A150="","",'1-Ders Havuzu'!A150),"")</f>
        <v/>
      </c>
      <c r="F448" s="37" t="str">
        <f aca="false">IF($A448="Seçildi",IF('1-Ders Havuzu'!H150="","",'1-Ders Havuzu'!H150),"")</f>
        <v/>
      </c>
      <c r="G448" s="37" t="str">
        <f aca="false">IF($A448="Seçildi",IF('2-Ders-Öğr.Elemanı Eşleştirme'!H150="","",'2-Ders-Öğr.Elemanı Eşleştirme'!H150),"")</f>
        <v/>
      </c>
      <c r="H448" s="39" t="n">
        <v>1</v>
      </c>
      <c r="I448" s="36"/>
      <c r="J448" s="36"/>
      <c r="K448" s="36"/>
      <c r="L448" s="36"/>
      <c r="M448" s="37" t="str">
        <f aca="false">IF($J448="","",MATCH($J448,{"08.00";"09.00";"10.00";"11.00";"12.00";"13.00";"14.00";"15.00";"16.00";"17.00"},0))</f>
        <v/>
      </c>
      <c r="N448" s="37" t="str">
        <f aca="false">IF(OR($M448="",$K448=""),"",$M448+$K448-1)</f>
        <v/>
      </c>
      <c r="O448" s="37" t="str">
        <f aca="false">IF($A448&lt;&gt;"Seçildi","",IF(OR($M448="",$N448=""),"",IF($N448&gt;10,"⚠ Saat Taşıyor","")))</f>
        <v/>
      </c>
      <c r="P448" s="37" t="str">
        <f aca="false">IF($A448&lt;&gt;"Seçildi","",IF(OR($G448="",$I448="",$M448=""),"",IF(SUMPRODUCT(($A$7:$A$456="Seçildi")*($G$7:$G$456=$G448)*($I$7:$I$456=$I448)*(ROW($A$7:$A$456)&lt;&gt;448)*($M$7:$M$456&lt;=$N448)*($N$7:$N$456&gt;=$M448))&gt;0,"⚠ Çakışma","OK")))</f>
        <v/>
      </c>
      <c r="Q448" s="37" t="str">
        <f aca="false">IF($A448&lt;&gt;"Seçildi","",IF(OR($L448="",$I448="",$M448=""),"",IF(SUMPRODUCT(($A$7:$A$456="Seçildi")*($L$7:$L$456=$L448)*($I$7:$I$456=$I448)*(ROW($A$7:$A$456)&lt;&gt;448)*($M$7:$M$456&lt;=$N448)*($N$7:$N$456&gt;=$M448))&gt;0,"⚠ Çakışma","OK")))</f>
        <v/>
      </c>
      <c r="R448" s="37" t="str">
        <f aca="false">IF($A448&lt;&gt;"Seçildi","",IF(OR($D448="",$I448="",$M448=""),"",IF(SUMPRODUCT(($A$7:$A$456="Seçildi")*($D$7:$D$456=$D448)*($I$7:$I$456=$I448)*(ROW($A$7:$A$456)&lt;&gt;448)*($M$7:$M$456&lt;=$N448)*($N$7:$N$456&gt;=$M448))&gt;0,"⚠ Çakışma","OK")))</f>
        <v/>
      </c>
      <c r="S448" s="37" t="str">
        <f aca="false">IF($A448&lt;&gt;"Seçildi","",IF(SUM($K448,$K449,$K450)&lt;&gt;$F448,"⚠ Dağılım: "&amp;SUM($K448:$K450)&amp;"/"&amp;$F448&amp;" saat","✓ Tamam"))</f>
        <v/>
      </c>
      <c r="T448" s="37" t="str">
        <f aca="false">IF($A448&lt;&gt;"Seçildi","",IF(OR($O448&lt;&gt;"",$P448="⚠ Çakışma",$Q448="⚠ Çakışma",$R448="⚠ Çakışma",LEFT($S448&amp;" ",1)="⚠"),"⚠ Kontrol Et","✓ Uygun"))</f>
        <v/>
      </c>
    </row>
    <row r="449" customFormat="false" ht="13.5" hidden="false" customHeight="true" outlineLevel="0" collapsed="false">
      <c r="A449" s="37" t="n">
        <f aca="false">'1-Ders Havuzu'!K150</f>
        <v>0</v>
      </c>
      <c r="B449" s="37" t="str">
        <f aca="false">IF($A449="Seçildi",IF('1-Ders Havuzu'!C150="","",'1-Ders Havuzu'!C150),"")</f>
        <v/>
      </c>
      <c r="C449" s="38" t="str">
        <f aca="false">IF($A449="Seçildi",IF('1-Ders Havuzu'!D150="","",'1-Ders Havuzu'!D150),"")</f>
        <v/>
      </c>
      <c r="D449" s="37" t="str">
        <f aca="false">IF($A449="Seçildi",IF('1-Ders Havuzu'!B150="","",'1-Ders Havuzu'!B150),"")</f>
        <v/>
      </c>
      <c r="E449" s="37" t="str">
        <f aca="false">IF($A449="Seçildi",IF('1-Ders Havuzu'!A150="","",'1-Ders Havuzu'!A150),"")</f>
        <v/>
      </c>
      <c r="F449" s="37" t="str">
        <f aca="false">IF($A449="Seçildi",IF('1-Ders Havuzu'!H150="","",'1-Ders Havuzu'!H150),"")</f>
        <v/>
      </c>
      <c r="G449" s="37" t="str">
        <f aca="false">IF($A449="Seçildi",IF('2-Ders-Öğr.Elemanı Eşleştirme'!H150="","",'2-Ders-Öğr.Elemanı Eşleştirme'!H150),"")</f>
        <v/>
      </c>
      <c r="H449" s="39" t="n">
        <v>2</v>
      </c>
      <c r="I449" s="36"/>
      <c r="J449" s="36"/>
      <c r="K449" s="36"/>
      <c r="L449" s="36"/>
      <c r="M449" s="37" t="str">
        <f aca="false">IF($J449="","",MATCH($J449,{"08.00";"09.00";"10.00";"11.00";"12.00";"13.00";"14.00";"15.00";"16.00";"17.00"},0))</f>
        <v/>
      </c>
      <c r="N449" s="37" t="str">
        <f aca="false">IF(OR($M449="",$K449=""),"",$M449+$K449-1)</f>
        <v/>
      </c>
      <c r="O449" s="37" t="str">
        <f aca="false">IF($A449&lt;&gt;"Seçildi","",IF(OR($M449="",$N449=""),"",IF($N449&gt;10,"⚠ Saat Taşıyor","")))</f>
        <v/>
      </c>
      <c r="P449" s="37" t="str">
        <f aca="false">IF($A449&lt;&gt;"Seçildi","",IF(OR($G449="",$I449="",$M449=""),"",IF(SUMPRODUCT(($A$7:$A$456="Seçildi")*($G$7:$G$456=$G449)*($I$7:$I$456=$I449)*(ROW($A$7:$A$456)&lt;&gt;449)*($M$7:$M$456&lt;=$N449)*($N$7:$N$456&gt;=$M449))&gt;0,"⚠ Çakışma","OK")))</f>
        <v/>
      </c>
      <c r="Q449" s="37" t="str">
        <f aca="false">IF($A449&lt;&gt;"Seçildi","",IF(OR($L449="",$I449="",$M449=""),"",IF(SUMPRODUCT(($A$7:$A$456="Seçildi")*($L$7:$L$456=$L449)*($I$7:$I$456=$I449)*(ROW($A$7:$A$456)&lt;&gt;449)*($M$7:$M$456&lt;=$N449)*($N$7:$N$456&gt;=$M449))&gt;0,"⚠ Çakışma","OK")))</f>
        <v/>
      </c>
      <c r="R449" s="37" t="str">
        <f aca="false">IF($A449&lt;&gt;"Seçildi","",IF(OR($D449="",$I449="",$M449=""),"",IF(SUMPRODUCT(($A$7:$A$456="Seçildi")*($D$7:$D$456=$D449)*($I$7:$I$456=$I449)*(ROW($A$7:$A$456)&lt;&gt;449)*($M$7:$M$456&lt;=$N449)*($N$7:$N$456&gt;=$M449))&gt;0,"⚠ Çakışma","OK")))</f>
        <v/>
      </c>
      <c r="S449" s="37"/>
      <c r="T449" s="37" t="str">
        <f aca="false">IF(OR($A449&lt;&gt;"Seçildi",AND($I449="",$J449="")),"",IF(OR($O449&lt;&gt;"",$P449="⚠ Çakışma",$Q449="⚠ Çakışma",$R449="⚠ Çakışma"),"⚠ Kontrol Et","✓ Uygun"))</f>
        <v/>
      </c>
    </row>
    <row r="450" customFormat="false" ht="13.5" hidden="false" customHeight="true" outlineLevel="0" collapsed="false">
      <c r="A450" s="37" t="n">
        <f aca="false">'1-Ders Havuzu'!K150</f>
        <v>0</v>
      </c>
      <c r="B450" s="37" t="str">
        <f aca="false">IF($A450="Seçildi",IF('1-Ders Havuzu'!C150="","",'1-Ders Havuzu'!C150),"")</f>
        <v/>
      </c>
      <c r="C450" s="38" t="str">
        <f aca="false">IF($A450="Seçildi",IF('1-Ders Havuzu'!D150="","",'1-Ders Havuzu'!D150),"")</f>
        <v/>
      </c>
      <c r="D450" s="37" t="str">
        <f aca="false">IF($A450="Seçildi",IF('1-Ders Havuzu'!B150="","",'1-Ders Havuzu'!B150),"")</f>
        <v/>
      </c>
      <c r="E450" s="37" t="str">
        <f aca="false">IF($A450="Seçildi",IF('1-Ders Havuzu'!A150="","",'1-Ders Havuzu'!A150),"")</f>
        <v/>
      </c>
      <c r="F450" s="37" t="str">
        <f aca="false">IF($A450="Seçildi",IF('1-Ders Havuzu'!H150="","",'1-Ders Havuzu'!H150),"")</f>
        <v/>
      </c>
      <c r="G450" s="37" t="str">
        <f aca="false">IF($A450="Seçildi",IF('2-Ders-Öğr.Elemanı Eşleştirme'!H150="","",'2-Ders-Öğr.Elemanı Eşleştirme'!H150),"")</f>
        <v/>
      </c>
      <c r="H450" s="39" t="n">
        <v>3</v>
      </c>
      <c r="I450" s="36"/>
      <c r="J450" s="36"/>
      <c r="K450" s="36"/>
      <c r="L450" s="36"/>
      <c r="M450" s="37" t="str">
        <f aca="false">IF($J450="","",MATCH($J450,{"08.00";"09.00";"10.00";"11.00";"12.00";"13.00";"14.00";"15.00";"16.00";"17.00"},0))</f>
        <v/>
      </c>
      <c r="N450" s="37" t="str">
        <f aca="false">IF(OR($M450="",$K450=""),"",$M450+$K450-1)</f>
        <v/>
      </c>
      <c r="O450" s="37" t="str">
        <f aca="false">IF($A450&lt;&gt;"Seçildi","",IF(OR($M450="",$N450=""),"",IF($N450&gt;10,"⚠ Saat Taşıyor","")))</f>
        <v/>
      </c>
      <c r="P450" s="37" t="str">
        <f aca="false">IF($A450&lt;&gt;"Seçildi","",IF(OR($G450="",$I450="",$M450=""),"",IF(SUMPRODUCT(($A$7:$A$456="Seçildi")*($G$7:$G$456=$G450)*($I$7:$I$456=$I450)*(ROW($A$7:$A$456)&lt;&gt;450)*($M$7:$M$456&lt;=$N450)*($N$7:$N$456&gt;=$M450))&gt;0,"⚠ Çakışma","OK")))</f>
        <v/>
      </c>
      <c r="Q450" s="37" t="str">
        <f aca="false">IF($A450&lt;&gt;"Seçildi","",IF(OR($L450="",$I450="",$M450=""),"",IF(SUMPRODUCT(($A$7:$A$456="Seçildi")*($L$7:$L$456=$L450)*($I$7:$I$456=$I450)*(ROW($A$7:$A$456)&lt;&gt;450)*($M$7:$M$456&lt;=$N450)*($N$7:$N$456&gt;=$M450))&gt;0,"⚠ Çakışma","OK")))</f>
        <v/>
      </c>
      <c r="R450" s="37" t="str">
        <f aca="false">IF($A450&lt;&gt;"Seçildi","",IF(OR($D450="",$I450="",$M450=""),"",IF(SUMPRODUCT(($A$7:$A$456="Seçildi")*($D$7:$D$456=$D450)*($I$7:$I$456=$I450)*(ROW($A$7:$A$456)&lt;&gt;450)*($M$7:$M$456&lt;=$N450)*($N$7:$N$456&gt;=$M450))&gt;0,"⚠ Çakışma","OK")))</f>
        <v/>
      </c>
      <c r="S450" s="37"/>
      <c r="T450" s="37" t="str">
        <f aca="false">IF(OR($A450&lt;&gt;"Seçildi",AND($I450="",$J450="")),"",IF(OR($O450&lt;&gt;"",$P450="⚠ Çakışma",$Q450="⚠ Çakışma",$R450="⚠ Çakışma"),"⚠ Kontrol Et","✓ Uygun"))</f>
        <v/>
      </c>
    </row>
    <row r="451" customFormat="false" ht="13.5" hidden="false" customHeight="true" outlineLevel="0" collapsed="false">
      <c r="A451" s="33" t="n">
        <f aca="false">'1-Ders Havuzu'!K151</f>
        <v>0</v>
      </c>
      <c r="B451" s="33" t="str">
        <f aca="false">IF($A451="Seçildi",IF('1-Ders Havuzu'!C151="","",'1-Ders Havuzu'!C151),"")</f>
        <v/>
      </c>
      <c r="C451" s="34" t="str">
        <f aca="false">IF($A451="Seçildi",IF('1-Ders Havuzu'!D151="","",'1-Ders Havuzu'!D151),"")</f>
        <v/>
      </c>
      <c r="D451" s="33" t="str">
        <f aca="false">IF($A451="Seçildi",IF('1-Ders Havuzu'!B151="","",'1-Ders Havuzu'!B151),"")</f>
        <v/>
      </c>
      <c r="E451" s="33" t="str">
        <f aca="false">IF($A451="Seçildi",IF('1-Ders Havuzu'!A151="","",'1-Ders Havuzu'!A151),"")</f>
        <v/>
      </c>
      <c r="F451" s="33" t="str">
        <f aca="false">IF($A451="Seçildi",IF('1-Ders Havuzu'!H151="","",'1-Ders Havuzu'!H151),"")</f>
        <v/>
      </c>
      <c r="G451" s="33" t="str">
        <f aca="false">IF($A451="Seçildi",IF('2-Ders-Öğr.Elemanı Eşleştirme'!H151="","",'2-Ders-Öğr.Elemanı Eşleştirme'!H151),"")</f>
        <v/>
      </c>
      <c r="H451" s="35" t="n">
        <v>1</v>
      </c>
      <c r="I451" s="36"/>
      <c r="J451" s="36"/>
      <c r="K451" s="36"/>
      <c r="L451" s="36"/>
      <c r="M451" s="33" t="str">
        <f aca="false">IF($J451="","",MATCH($J451,{"08.00";"09.00";"10.00";"11.00";"12.00";"13.00";"14.00";"15.00";"16.00";"17.00"},0))</f>
        <v/>
      </c>
      <c r="N451" s="33" t="str">
        <f aca="false">IF(OR($M451="",$K451=""),"",$M451+$K451-1)</f>
        <v/>
      </c>
      <c r="O451" s="33" t="str">
        <f aca="false">IF($A451&lt;&gt;"Seçildi","",IF(OR($M451="",$N451=""),"",IF($N451&gt;10,"⚠ Saat Taşıyor","")))</f>
        <v/>
      </c>
      <c r="P451" s="33" t="str">
        <f aca="false">IF($A451&lt;&gt;"Seçildi","",IF(OR($G451="",$I451="",$M451=""),"",IF(SUMPRODUCT(($A$7:$A$456="Seçildi")*($G$7:$G$456=$G451)*($I$7:$I$456=$I451)*(ROW($A$7:$A$456)&lt;&gt;451)*($M$7:$M$456&lt;=$N451)*($N$7:$N$456&gt;=$M451))&gt;0,"⚠ Çakışma","OK")))</f>
        <v/>
      </c>
      <c r="Q451" s="33" t="str">
        <f aca="false">IF($A451&lt;&gt;"Seçildi","",IF(OR($L451="",$I451="",$M451=""),"",IF(SUMPRODUCT(($A$7:$A$456="Seçildi")*($L$7:$L$456=$L451)*($I$7:$I$456=$I451)*(ROW($A$7:$A$456)&lt;&gt;451)*($M$7:$M$456&lt;=$N451)*($N$7:$N$456&gt;=$M451))&gt;0,"⚠ Çakışma","OK")))</f>
        <v/>
      </c>
      <c r="R451" s="33" t="str">
        <f aca="false">IF($A451&lt;&gt;"Seçildi","",IF(OR($D451="",$I451="",$M451=""),"",IF(SUMPRODUCT(($A$7:$A$456="Seçildi")*($D$7:$D$456=$D451)*($I$7:$I$456=$I451)*(ROW($A$7:$A$456)&lt;&gt;451)*($M$7:$M$456&lt;=$N451)*($N$7:$N$456&gt;=$M451))&gt;0,"⚠ Çakışma","OK")))</f>
        <v/>
      </c>
      <c r="S451" s="33" t="str">
        <f aca="false">IF($A451&lt;&gt;"Seçildi","",IF(SUM($K451,$K452,$K453)&lt;&gt;$F451,"⚠ Dağılım: "&amp;SUM($K451:$K453)&amp;"/"&amp;$F451&amp;" saat","✓ Tamam"))</f>
        <v/>
      </c>
      <c r="T451" s="33" t="str">
        <f aca="false">IF($A451&lt;&gt;"Seçildi","",IF(OR($O451&lt;&gt;"",$P451="⚠ Çakışma",$Q451="⚠ Çakışma",$R451="⚠ Çakışma",LEFT($S451&amp;" ",1)="⚠"),"⚠ Kontrol Et","✓ Uygun"))</f>
        <v/>
      </c>
    </row>
    <row r="452" customFormat="false" ht="13.5" hidden="false" customHeight="true" outlineLevel="0" collapsed="false">
      <c r="A452" s="33" t="n">
        <f aca="false">'1-Ders Havuzu'!K151</f>
        <v>0</v>
      </c>
      <c r="B452" s="33" t="str">
        <f aca="false">IF($A452="Seçildi",IF('1-Ders Havuzu'!C151="","",'1-Ders Havuzu'!C151),"")</f>
        <v/>
      </c>
      <c r="C452" s="34" t="str">
        <f aca="false">IF($A452="Seçildi",IF('1-Ders Havuzu'!D151="","",'1-Ders Havuzu'!D151),"")</f>
        <v/>
      </c>
      <c r="D452" s="33" t="str">
        <f aca="false">IF($A452="Seçildi",IF('1-Ders Havuzu'!B151="","",'1-Ders Havuzu'!B151),"")</f>
        <v/>
      </c>
      <c r="E452" s="33" t="str">
        <f aca="false">IF($A452="Seçildi",IF('1-Ders Havuzu'!A151="","",'1-Ders Havuzu'!A151),"")</f>
        <v/>
      </c>
      <c r="F452" s="33" t="str">
        <f aca="false">IF($A452="Seçildi",IF('1-Ders Havuzu'!H151="","",'1-Ders Havuzu'!H151),"")</f>
        <v/>
      </c>
      <c r="G452" s="33" t="str">
        <f aca="false">IF($A452="Seçildi",IF('2-Ders-Öğr.Elemanı Eşleştirme'!H151="","",'2-Ders-Öğr.Elemanı Eşleştirme'!H151),"")</f>
        <v/>
      </c>
      <c r="H452" s="35" t="n">
        <v>2</v>
      </c>
      <c r="I452" s="36"/>
      <c r="J452" s="36"/>
      <c r="K452" s="36"/>
      <c r="L452" s="36"/>
      <c r="M452" s="33" t="str">
        <f aca="false">IF($J452="","",MATCH($J452,{"08.00";"09.00";"10.00";"11.00";"12.00";"13.00";"14.00";"15.00";"16.00";"17.00"},0))</f>
        <v/>
      </c>
      <c r="N452" s="33" t="str">
        <f aca="false">IF(OR($M452="",$K452=""),"",$M452+$K452-1)</f>
        <v/>
      </c>
      <c r="O452" s="33" t="str">
        <f aca="false">IF($A452&lt;&gt;"Seçildi","",IF(OR($M452="",$N452=""),"",IF($N452&gt;10,"⚠ Saat Taşıyor","")))</f>
        <v/>
      </c>
      <c r="P452" s="33" t="str">
        <f aca="false">IF($A452&lt;&gt;"Seçildi","",IF(OR($G452="",$I452="",$M452=""),"",IF(SUMPRODUCT(($A$7:$A$456="Seçildi")*($G$7:$G$456=$G452)*($I$7:$I$456=$I452)*(ROW($A$7:$A$456)&lt;&gt;452)*($M$7:$M$456&lt;=$N452)*($N$7:$N$456&gt;=$M452))&gt;0,"⚠ Çakışma","OK")))</f>
        <v/>
      </c>
      <c r="Q452" s="33" t="str">
        <f aca="false">IF($A452&lt;&gt;"Seçildi","",IF(OR($L452="",$I452="",$M452=""),"",IF(SUMPRODUCT(($A$7:$A$456="Seçildi")*($L$7:$L$456=$L452)*($I$7:$I$456=$I452)*(ROW($A$7:$A$456)&lt;&gt;452)*($M$7:$M$456&lt;=$N452)*($N$7:$N$456&gt;=$M452))&gt;0,"⚠ Çakışma","OK")))</f>
        <v/>
      </c>
      <c r="R452" s="33" t="str">
        <f aca="false">IF($A452&lt;&gt;"Seçildi","",IF(OR($D452="",$I452="",$M452=""),"",IF(SUMPRODUCT(($A$7:$A$456="Seçildi")*($D$7:$D$456=$D452)*($I$7:$I$456=$I452)*(ROW($A$7:$A$456)&lt;&gt;452)*($M$7:$M$456&lt;=$N452)*($N$7:$N$456&gt;=$M452))&gt;0,"⚠ Çakışma","OK")))</f>
        <v/>
      </c>
      <c r="S452" s="33"/>
      <c r="T452" s="33" t="str">
        <f aca="false">IF(OR($A452&lt;&gt;"Seçildi",AND($I452="",$J452="")),"",IF(OR($O452&lt;&gt;"",$P452="⚠ Çakışma",$Q452="⚠ Çakışma",$R452="⚠ Çakışma"),"⚠ Kontrol Et","✓ Uygun"))</f>
        <v/>
      </c>
    </row>
    <row r="453" customFormat="false" ht="13.5" hidden="false" customHeight="true" outlineLevel="0" collapsed="false">
      <c r="A453" s="33" t="n">
        <f aca="false">'1-Ders Havuzu'!K151</f>
        <v>0</v>
      </c>
      <c r="B453" s="33" t="str">
        <f aca="false">IF($A453="Seçildi",IF('1-Ders Havuzu'!C151="","",'1-Ders Havuzu'!C151),"")</f>
        <v/>
      </c>
      <c r="C453" s="34" t="str">
        <f aca="false">IF($A453="Seçildi",IF('1-Ders Havuzu'!D151="","",'1-Ders Havuzu'!D151),"")</f>
        <v/>
      </c>
      <c r="D453" s="33" t="str">
        <f aca="false">IF($A453="Seçildi",IF('1-Ders Havuzu'!B151="","",'1-Ders Havuzu'!B151),"")</f>
        <v/>
      </c>
      <c r="E453" s="33" t="str">
        <f aca="false">IF($A453="Seçildi",IF('1-Ders Havuzu'!A151="","",'1-Ders Havuzu'!A151),"")</f>
        <v/>
      </c>
      <c r="F453" s="33" t="str">
        <f aca="false">IF($A453="Seçildi",IF('1-Ders Havuzu'!H151="","",'1-Ders Havuzu'!H151),"")</f>
        <v/>
      </c>
      <c r="G453" s="33" t="str">
        <f aca="false">IF($A453="Seçildi",IF('2-Ders-Öğr.Elemanı Eşleştirme'!H151="","",'2-Ders-Öğr.Elemanı Eşleştirme'!H151),"")</f>
        <v/>
      </c>
      <c r="H453" s="35" t="n">
        <v>3</v>
      </c>
      <c r="I453" s="36"/>
      <c r="J453" s="36"/>
      <c r="K453" s="36"/>
      <c r="L453" s="36"/>
      <c r="M453" s="33" t="str">
        <f aca="false">IF($J453="","",MATCH($J453,{"08.00";"09.00";"10.00";"11.00";"12.00";"13.00";"14.00";"15.00";"16.00";"17.00"},0))</f>
        <v/>
      </c>
      <c r="N453" s="33" t="str">
        <f aca="false">IF(OR($M453="",$K453=""),"",$M453+$K453-1)</f>
        <v/>
      </c>
      <c r="O453" s="33" t="str">
        <f aca="false">IF($A453&lt;&gt;"Seçildi","",IF(OR($M453="",$N453=""),"",IF($N453&gt;10,"⚠ Saat Taşıyor","")))</f>
        <v/>
      </c>
      <c r="P453" s="33" t="str">
        <f aca="false">IF($A453&lt;&gt;"Seçildi","",IF(OR($G453="",$I453="",$M453=""),"",IF(SUMPRODUCT(($A$7:$A$456="Seçildi")*($G$7:$G$456=$G453)*($I$7:$I$456=$I453)*(ROW($A$7:$A$456)&lt;&gt;453)*($M$7:$M$456&lt;=$N453)*($N$7:$N$456&gt;=$M453))&gt;0,"⚠ Çakışma","OK")))</f>
        <v/>
      </c>
      <c r="Q453" s="33" t="str">
        <f aca="false">IF($A453&lt;&gt;"Seçildi","",IF(OR($L453="",$I453="",$M453=""),"",IF(SUMPRODUCT(($A$7:$A$456="Seçildi")*($L$7:$L$456=$L453)*($I$7:$I$456=$I453)*(ROW($A$7:$A$456)&lt;&gt;453)*($M$7:$M$456&lt;=$N453)*($N$7:$N$456&gt;=$M453))&gt;0,"⚠ Çakışma","OK")))</f>
        <v/>
      </c>
      <c r="R453" s="33" t="str">
        <f aca="false">IF($A453&lt;&gt;"Seçildi","",IF(OR($D453="",$I453="",$M453=""),"",IF(SUMPRODUCT(($A$7:$A$456="Seçildi")*($D$7:$D$456=$D453)*($I$7:$I$456=$I453)*(ROW($A$7:$A$456)&lt;&gt;453)*($M$7:$M$456&lt;=$N453)*($N$7:$N$456&gt;=$M453))&gt;0,"⚠ Çakışma","OK")))</f>
        <v/>
      </c>
      <c r="S453" s="33"/>
      <c r="T453" s="33" t="str">
        <f aca="false">IF(OR($A453&lt;&gt;"Seçildi",AND($I453="",$J453="")),"",IF(OR($O453&lt;&gt;"",$P453="⚠ Çakışma",$Q453="⚠ Çakışma",$R453="⚠ Çakışma"),"⚠ Kontrol Et","✓ Uygun"))</f>
        <v/>
      </c>
    </row>
    <row r="454" customFormat="false" ht="13.5" hidden="false" customHeight="true" outlineLevel="0" collapsed="false">
      <c r="A454" s="37" t="n">
        <f aca="false">'1-Ders Havuzu'!K152</f>
        <v>0</v>
      </c>
      <c r="B454" s="37" t="str">
        <f aca="false">IF($A454="Seçildi",IF('1-Ders Havuzu'!C152="","",'1-Ders Havuzu'!C152),"")</f>
        <v/>
      </c>
      <c r="C454" s="38" t="str">
        <f aca="false">IF($A454="Seçildi",IF('1-Ders Havuzu'!D152="","",'1-Ders Havuzu'!D152),"")</f>
        <v/>
      </c>
      <c r="D454" s="37" t="str">
        <f aca="false">IF($A454="Seçildi",IF('1-Ders Havuzu'!B152="","",'1-Ders Havuzu'!B152),"")</f>
        <v/>
      </c>
      <c r="E454" s="37" t="str">
        <f aca="false">IF($A454="Seçildi",IF('1-Ders Havuzu'!A152="","",'1-Ders Havuzu'!A152),"")</f>
        <v/>
      </c>
      <c r="F454" s="37" t="str">
        <f aca="false">IF($A454="Seçildi",IF('1-Ders Havuzu'!H152="","",'1-Ders Havuzu'!H152),"")</f>
        <v/>
      </c>
      <c r="G454" s="37" t="str">
        <f aca="false">IF($A454="Seçildi",IF('2-Ders-Öğr.Elemanı Eşleştirme'!H152="","",'2-Ders-Öğr.Elemanı Eşleştirme'!H152),"")</f>
        <v/>
      </c>
      <c r="H454" s="39" t="n">
        <v>1</v>
      </c>
      <c r="I454" s="36"/>
      <c r="J454" s="36"/>
      <c r="K454" s="36"/>
      <c r="L454" s="36"/>
      <c r="M454" s="37" t="str">
        <f aca="false">IF($J454="","",MATCH($J454,{"08.00";"09.00";"10.00";"11.00";"12.00";"13.00";"14.00";"15.00";"16.00";"17.00"},0))</f>
        <v/>
      </c>
      <c r="N454" s="37" t="str">
        <f aca="false">IF(OR($M454="",$K454=""),"",$M454+$K454-1)</f>
        <v/>
      </c>
      <c r="O454" s="37" t="str">
        <f aca="false">IF($A454&lt;&gt;"Seçildi","",IF(OR($M454="",$N454=""),"",IF($N454&gt;10,"⚠ Saat Taşıyor","")))</f>
        <v/>
      </c>
      <c r="P454" s="37" t="str">
        <f aca="false">IF($A454&lt;&gt;"Seçildi","",IF(OR($G454="",$I454="",$M454=""),"",IF(SUMPRODUCT(($A$7:$A$456="Seçildi")*($G$7:$G$456=$G454)*($I$7:$I$456=$I454)*(ROW($A$7:$A$456)&lt;&gt;454)*($M$7:$M$456&lt;=$N454)*($N$7:$N$456&gt;=$M454))&gt;0,"⚠ Çakışma","OK")))</f>
        <v/>
      </c>
      <c r="Q454" s="37" t="str">
        <f aca="false">IF($A454&lt;&gt;"Seçildi","",IF(OR($L454="",$I454="",$M454=""),"",IF(SUMPRODUCT(($A$7:$A$456="Seçildi")*($L$7:$L$456=$L454)*($I$7:$I$456=$I454)*(ROW($A$7:$A$456)&lt;&gt;454)*($M$7:$M$456&lt;=$N454)*($N$7:$N$456&gt;=$M454))&gt;0,"⚠ Çakışma","OK")))</f>
        <v/>
      </c>
      <c r="R454" s="37" t="str">
        <f aca="false">IF($A454&lt;&gt;"Seçildi","",IF(OR($D454="",$I454="",$M454=""),"",IF(SUMPRODUCT(($A$7:$A$456="Seçildi")*($D$7:$D$456=$D454)*($I$7:$I$456=$I454)*(ROW($A$7:$A$456)&lt;&gt;454)*($M$7:$M$456&lt;=$N454)*($N$7:$N$456&gt;=$M454))&gt;0,"⚠ Çakışma","OK")))</f>
        <v/>
      </c>
      <c r="S454" s="37" t="str">
        <f aca="false">IF($A454&lt;&gt;"Seçildi","",IF(SUM($K454,$K455,$K456)&lt;&gt;$F454,"⚠ Dağılım: "&amp;SUM($K454:$K456)&amp;"/"&amp;$F454&amp;" saat","✓ Tamam"))</f>
        <v/>
      </c>
      <c r="T454" s="37" t="str">
        <f aca="false">IF($A454&lt;&gt;"Seçildi","",IF(OR($O454&lt;&gt;"",$P454="⚠ Çakışma",$Q454="⚠ Çakışma",$R454="⚠ Çakışma",LEFT($S454&amp;" ",1)="⚠"),"⚠ Kontrol Et","✓ Uygun"))</f>
        <v/>
      </c>
    </row>
    <row r="455" customFormat="false" ht="13.5" hidden="false" customHeight="true" outlineLevel="0" collapsed="false">
      <c r="A455" s="37" t="n">
        <f aca="false">'1-Ders Havuzu'!K152</f>
        <v>0</v>
      </c>
      <c r="B455" s="37" t="str">
        <f aca="false">IF($A455="Seçildi",IF('1-Ders Havuzu'!C152="","",'1-Ders Havuzu'!C152),"")</f>
        <v/>
      </c>
      <c r="C455" s="38" t="str">
        <f aca="false">IF($A455="Seçildi",IF('1-Ders Havuzu'!D152="","",'1-Ders Havuzu'!D152),"")</f>
        <v/>
      </c>
      <c r="D455" s="37" t="str">
        <f aca="false">IF($A455="Seçildi",IF('1-Ders Havuzu'!B152="","",'1-Ders Havuzu'!B152),"")</f>
        <v/>
      </c>
      <c r="E455" s="37" t="str">
        <f aca="false">IF($A455="Seçildi",IF('1-Ders Havuzu'!A152="","",'1-Ders Havuzu'!A152),"")</f>
        <v/>
      </c>
      <c r="F455" s="37" t="str">
        <f aca="false">IF($A455="Seçildi",IF('1-Ders Havuzu'!H152="","",'1-Ders Havuzu'!H152),"")</f>
        <v/>
      </c>
      <c r="G455" s="37" t="str">
        <f aca="false">IF($A455="Seçildi",IF('2-Ders-Öğr.Elemanı Eşleştirme'!H152="","",'2-Ders-Öğr.Elemanı Eşleştirme'!H152),"")</f>
        <v/>
      </c>
      <c r="H455" s="39" t="n">
        <v>2</v>
      </c>
      <c r="I455" s="36"/>
      <c r="J455" s="36"/>
      <c r="K455" s="36"/>
      <c r="L455" s="36"/>
      <c r="M455" s="37" t="str">
        <f aca="false">IF($J455="","",MATCH($J455,{"08.00";"09.00";"10.00";"11.00";"12.00";"13.00";"14.00";"15.00";"16.00";"17.00"},0))</f>
        <v/>
      </c>
      <c r="N455" s="37" t="str">
        <f aca="false">IF(OR($M455="",$K455=""),"",$M455+$K455-1)</f>
        <v/>
      </c>
      <c r="O455" s="37" t="str">
        <f aca="false">IF($A455&lt;&gt;"Seçildi","",IF(OR($M455="",$N455=""),"",IF($N455&gt;10,"⚠ Saat Taşıyor","")))</f>
        <v/>
      </c>
      <c r="P455" s="37" t="str">
        <f aca="false">IF($A455&lt;&gt;"Seçildi","",IF(OR($G455="",$I455="",$M455=""),"",IF(SUMPRODUCT(($A$7:$A$456="Seçildi")*($G$7:$G$456=$G455)*($I$7:$I$456=$I455)*(ROW($A$7:$A$456)&lt;&gt;455)*($M$7:$M$456&lt;=$N455)*($N$7:$N$456&gt;=$M455))&gt;0,"⚠ Çakışma","OK")))</f>
        <v/>
      </c>
      <c r="Q455" s="37" t="str">
        <f aca="false">IF($A455&lt;&gt;"Seçildi","",IF(OR($L455="",$I455="",$M455=""),"",IF(SUMPRODUCT(($A$7:$A$456="Seçildi")*($L$7:$L$456=$L455)*($I$7:$I$456=$I455)*(ROW($A$7:$A$456)&lt;&gt;455)*($M$7:$M$456&lt;=$N455)*($N$7:$N$456&gt;=$M455))&gt;0,"⚠ Çakışma","OK")))</f>
        <v/>
      </c>
      <c r="R455" s="37" t="str">
        <f aca="false">IF($A455&lt;&gt;"Seçildi","",IF(OR($D455="",$I455="",$M455=""),"",IF(SUMPRODUCT(($A$7:$A$456="Seçildi")*($D$7:$D$456=$D455)*($I$7:$I$456=$I455)*(ROW($A$7:$A$456)&lt;&gt;455)*($M$7:$M$456&lt;=$N455)*($N$7:$N$456&gt;=$M455))&gt;0,"⚠ Çakışma","OK")))</f>
        <v/>
      </c>
      <c r="S455" s="37"/>
      <c r="T455" s="37" t="str">
        <f aca="false">IF(OR($A455&lt;&gt;"Seçildi",AND($I455="",$J455="")),"",IF(OR($O455&lt;&gt;"",$P455="⚠ Çakışma",$Q455="⚠ Çakışma",$R455="⚠ Çakışma"),"⚠ Kontrol Et","✓ Uygun"))</f>
        <v/>
      </c>
    </row>
    <row r="456" customFormat="false" ht="13.5" hidden="false" customHeight="true" outlineLevel="0" collapsed="false">
      <c r="A456" s="37" t="n">
        <f aca="false">'1-Ders Havuzu'!K152</f>
        <v>0</v>
      </c>
      <c r="B456" s="37" t="str">
        <f aca="false">IF($A456="Seçildi",IF('1-Ders Havuzu'!C152="","",'1-Ders Havuzu'!C152),"")</f>
        <v/>
      </c>
      <c r="C456" s="38" t="str">
        <f aca="false">IF($A456="Seçildi",IF('1-Ders Havuzu'!D152="","",'1-Ders Havuzu'!D152),"")</f>
        <v/>
      </c>
      <c r="D456" s="37" t="str">
        <f aca="false">IF($A456="Seçildi",IF('1-Ders Havuzu'!B152="","",'1-Ders Havuzu'!B152),"")</f>
        <v/>
      </c>
      <c r="E456" s="37" t="str">
        <f aca="false">IF($A456="Seçildi",IF('1-Ders Havuzu'!A152="","",'1-Ders Havuzu'!A152),"")</f>
        <v/>
      </c>
      <c r="F456" s="37" t="str">
        <f aca="false">IF($A456="Seçildi",IF('1-Ders Havuzu'!H152="","",'1-Ders Havuzu'!H152),"")</f>
        <v/>
      </c>
      <c r="G456" s="37" t="str">
        <f aca="false">IF($A456="Seçildi",IF('2-Ders-Öğr.Elemanı Eşleştirme'!H152="","",'2-Ders-Öğr.Elemanı Eşleştirme'!H152),"")</f>
        <v/>
      </c>
      <c r="H456" s="39" t="n">
        <v>3</v>
      </c>
      <c r="I456" s="36"/>
      <c r="J456" s="36"/>
      <c r="K456" s="36"/>
      <c r="L456" s="36"/>
      <c r="M456" s="37" t="str">
        <f aca="false">IF($J456="","",MATCH($J456,{"08.00";"09.00";"10.00";"11.00";"12.00";"13.00";"14.00";"15.00";"16.00";"17.00"},0))</f>
        <v/>
      </c>
      <c r="N456" s="37" t="str">
        <f aca="false">IF(OR($M456="",$K456=""),"",$M456+$K456-1)</f>
        <v/>
      </c>
      <c r="O456" s="37" t="str">
        <f aca="false">IF($A456&lt;&gt;"Seçildi","",IF(OR($M456="",$N456=""),"",IF($N456&gt;10,"⚠ Saat Taşıyor","")))</f>
        <v/>
      </c>
      <c r="P456" s="37" t="str">
        <f aca="false">IF($A456&lt;&gt;"Seçildi","",IF(OR($G456="",$I456="",$M456=""),"",IF(SUMPRODUCT(($A$7:$A$456="Seçildi")*($G$7:$G$456=$G456)*($I$7:$I$456=$I456)*(ROW($A$7:$A$456)&lt;&gt;456)*($M$7:$M$456&lt;=$N456)*($N$7:$N$456&gt;=$M456))&gt;0,"⚠ Çakışma","OK")))</f>
        <v/>
      </c>
      <c r="Q456" s="37" t="str">
        <f aca="false">IF($A456&lt;&gt;"Seçildi","",IF(OR($L456="",$I456="",$M456=""),"",IF(SUMPRODUCT(($A$7:$A$456="Seçildi")*($L$7:$L$456=$L456)*($I$7:$I$456=$I456)*(ROW($A$7:$A$456)&lt;&gt;456)*($M$7:$M$456&lt;=$N456)*($N$7:$N$456&gt;=$M456))&gt;0,"⚠ Çakışma","OK")))</f>
        <v/>
      </c>
      <c r="R456" s="37" t="str">
        <f aca="false">IF($A456&lt;&gt;"Seçildi","",IF(OR($D456="",$I456="",$M456=""),"",IF(SUMPRODUCT(($A$7:$A$456="Seçildi")*($D$7:$D$456=$D456)*($I$7:$I$456=$I456)*(ROW($A$7:$A$456)&lt;&gt;456)*($M$7:$M$456&lt;=$N456)*($N$7:$N$456&gt;=$M456))&gt;0,"⚠ Çakışma","OK")))</f>
        <v/>
      </c>
      <c r="S456" s="37"/>
      <c r="T456" s="37" t="str">
        <f aca="false">IF(OR($A456&lt;&gt;"Seçildi",AND($I456="",$J456="")),"",IF(OR($O456&lt;&gt;"",$P456="⚠ Çakışma",$Q456="⚠ Çakışma",$R456="⚠ Çakışma"),"⚠ Kontrol Et","✓ Uygun"))</f>
        <v/>
      </c>
    </row>
  </sheetData>
  <autoFilter ref="A6:T456"/>
  <mergeCells count="8">
    <mergeCell ref="A1:T1"/>
    <mergeCell ref="A2:T2"/>
    <mergeCell ref="A3:T3"/>
    <mergeCell ref="B4:C4"/>
    <mergeCell ref="F4:G4"/>
    <mergeCell ref="J4:K4"/>
    <mergeCell ref="O4:P4"/>
    <mergeCell ref="R4:S4"/>
  </mergeCells>
  <conditionalFormatting sqref="D4">
    <cfRule type="cellIs" priority="2" operator="equal" aboveAverage="0" equalAverage="0" bottom="0" percent="0" rank="0" text="" dxfId="5">
      <formula>0</formula>
    </cfRule>
    <cfRule type="cellIs" priority="3" operator="greaterThan" aboveAverage="0" equalAverage="0" bottom="0" percent="0" rank="0" text="" dxfId="6">
      <formula>0</formula>
    </cfRule>
  </conditionalFormatting>
  <conditionalFormatting sqref="H4">
    <cfRule type="cellIs" priority="4" operator="equal" aboveAverage="0" equalAverage="0" bottom="0" percent="0" rank="0" text="" dxfId="5">
      <formula>0</formula>
    </cfRule>
    <cfRule type="cellIs" priority="5" operator="greaterThan" aboveAverage="0" equalAverage="0" bottom="0" percent="0" rank="0" text="" dxfId="6">
      <formula>0</formula>
    </cfRule>
  </conditionalFormatting>
  <conditionalFormatting sqref="L4">
    <cfRule type="cellIs" priority="6" operator="equal" aboveAverage="0" equalAverage="0" bottom="0" percent="0" rank="0" text="" dxfId="5">
      <formula>0</formula>
    </cfRule>
    <cfRule type="cellIs" priority="7" operator="greaterThan" aboveAverage="0" equalAverage="0" bottom="0" percent="0" rank="0" text="" dxfId="6">
      <formula>0</formula>
    </cfRule>
  </conditionalFormatting>
  <conditionalFormatting sqref="Q4">
    <cfRule type="cellIs" priority="8" operator="equal" aboveAverage="0" equalAverage="0" bottom="0" percent="0" rank="0" text="" dxfId="5">
      <formula>0</formula>
    </cfRule>
    <cfRule type="cellIs" priority="9" operator="greaterThan" aboveAverage="0" equalAverage="0" bottom="0" percent="0" rank="0" text="" dxfId="6">
      <formula>0</formula>
    </cfRule>
  </conditionalFormatting>
  <conditionalFormatting sqref="T4">
    <cfRule type="cellIs" priority="10" operator="equal" aboveAverage="0" equalAverage="0" bottom="0" percent="0" rank="0" text="" dxfId="5">
      <formula>0</formula>
    </cfRule>
    <cfRule type="cellIs" priority="11" operator="greaterThan" aboveAverage="0" equalAverage="0" bottom="0" percent="0" rank="0" text="" dxfId="6">
      <formula>0</formula>
    </cfRule>
  </conditionalFormatting>
  <conditionalFormatting sqref="O7:O456">
    <cfRule type="expression" priority="12" aboveAverage="0" equalAverage="0" bottom="0" percent="0" rank="0" text="" dxfId="8">
      <formula>LEFT(O7,1)="⚠"</formula>
    </cfRule>
  </conditionalFormatting>
  <conditionalFormatting sqref="P7:P456">
    <cfRule type="expression" priority="13" aboveAverage="0" equalAverage="0" bottom="0" percent="0" rank="0" text="" dxfId="8">
      <formula>LEFT(P7,1)="⚠"</formula>
    </cfRule>
  </conditionalFormatting>
  <conditionalFormatting sqref="Q7:Q456">
    <cfRule type="expression" priority="14" aboveAverage="0" equalAverage="0" bottom="0" percent="0" rank="0" text="" dxfId="8">
      <formula>LEFT(Q7,1)="⚠"</formula>
    </cfRule>
  </conditionalFormatting>
  <conditionalFormatting sqref="R7:R456">
    <cfRule type="expression" priority="15" aboveAverage="0" equalAverage="0" bottom="0" percent="0" rank="0" text="" dxfId="8">
      <formula>LEFT(R7,1)="⚠"</formula>
    </cfRule>
  </conditionalFormatting>
  <conditionalFormatting sqref="S7:S456">
    <cfRule type="expression" priority="16" aboveAverage="0" equalAverage="0" bottom="0" percent="0" rank="0" text="" dxfId="8">
      <formula>LEFT(S7&amp;" ",1)="⚠"</formula>
    </cfRule>
    <cfRule type="cellIs" priority="17" operator="equal" aboveAverage="0" equalAverage="0" bottom="0" percent="0" rank="0" text="" dxfId="7">
      <formula>"✓ Tamam"</formula>
    </cfRule>
  </conditionalFormatting>
  <conditionalFormatting sqref="T7:T456">
    <cfRule type="cellIs" priority="18" operator="equal" aboveAverage="0" equalAverage="0" bottom="0" percent="0" rank="0" text="" dxfId="7">
      <formula>"✓ Uygun"</formula>
    </cfRule>
    <cfRule type="expression" priority="19" aboveAverage="0" equalAverage="0" bottom="0" percent="0" rank="0" text="" dxfId="8">
      <formula>LEFT(T7,1)="⚠"</formula>
    </cfRule>
  </conditionalFormatting>
  <dataValidations count="4">
    <dataValidation allowBlank="true" errorStyle="stop" operator="between" prompt="Bu oturum için gün seçin." promptTitle="Gün" showDropDown="false" showErrorMessage="true" showInputMessage="true" sqref="I7:I456" type="list">
      <formula1>"Pazartesi,Salı,Çarşamba,Perşembe,Cuma"</formula1>
      <formula2>0</formula2>
    </dataValidation>
    <dataValidation allowBlank="true" errorStyle="stop" operator="between" promptTitle="Başlangıç Saati" showDropDown="false" showErrorMessage="true" showInputMessage="false" sqref="J7:J456" type="list">
      <formula1>"08.00,09.00,10.00,11.00,12.00,13.00,14.00,15.00,16.00,17.00"</formula1>
      <formula2>0</formula2>
    </dataValidation>
    <dataValidation allowBlank="true" errorStyle="stop" operator="between" prompt="Bu oturumun kaç ders saati süreceği (dersi bölmüyorsanız toplam saati buraya girin)." promptTitle="Süre (Saat)" showDropDown="false" showErrorMessage="true" showInputMessage="true" sqref="K7:K456" type="list">
      <formula1>"1,2,3,4,5,6"</formula1>
      <formula2>0</formula2>
    </dataValidation>
    <dataValidation allowBlank="true" errorStyle="stop" operator="between" prompt="Dersi bölmüyorsanız yalnızca 1. Oturum satırını doldurup 2. ve 3. oturum satırlarını boş bırakın." promptTitle="Derslik" showDropDown="false" showErrorMessage="true" showInputMessage="true" sqref="L7:L456" type="list">
      <formula1>"Derslik 1,Derslik 2,Derslik 3,Derslik 4,Derslik 5,Derslik 6,Derslik 7,Derslik 8,Derslik 9,Derslik 10"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323</v>
      </c>
    </row>
    <row r="2" customFormat="false" ht="15" hidden="false" customHeight="false" outlineLevel="0" collapsed="false">
      <c r="A2" s="0" t="s">
        <v>324</v>
      </c>
      <c r="B2" s="0" t="n">
        <f aca="false">SUMPRODUCT(('4-Gün-Saat-Derslik Atama'!$A$7:$A$456="Seçildi")*('4-Gün-Saat-Derslik Atama'!$D$7:$D$456=1)*('4-Gün-Saat-Derslik Atama'!$I$7:$I$456="Pazartesi")*('4-Gün-Saat-Derslik Atama'!$M$7:$M$456&lt;=1)*('4-Gün-Saat-Derslik Atama'!$N$7:$N$456&gt;=1))</f>
        <v>0</v>
      </c>
      <c r="C2" s="0" t="n">
        <f aca="false">SUMPRODUCT(('4-Gün-Saat-Derslik Atama'!$A$7:$A$456="Seçildi")*('4-Gün-Saat-Derslik Atama'!$D$7:$D$456=1)*('4-Gün-Saat-Derslik Atama'!$I$7:$I$456="Salı")*('4-Gün-Saat-Derslik Atama'!$M$7:$M$456&lt;=1)*('4-Gün-Saat-Derslik Atama'!$N$7:$N$456&gt;=1))</f>
        <v>0</v>
      </c>
      <c r="D2" s="0" t="n">
        <f aca="false">SUMPRODUCT(('4-Gün-Saat-Derslik Atama'!$A$7:$A$456="Seçildi")*('4-Gün-Saat-Derslik Atama'!$D$7:$D$456=1)*('4-Gün-Saat-Derslik Atama'!$I$7:$I$456="Çarşamba")*('4-Gün-Saat-Derslik Atama'!$M$7:$M$456&lt;=1)*('4-Gün-Saat-Derslik Atama'!$N$7:$N$456&gt;=1))</f>
        <v>0</v>
      </c>
      <c r="E2" s="0" t="n">
        <f aca="false">SUMPRODUCT(('4-Gün-Saat-Derslik Atama'!$A$7:$A$456="Seçildi")*('4-Gün-Saat-Derslik Atama'!$D$7:$D$456=1)*('4-Gün-Saat-Derslik Atama'!$I$7:$I$456="Perşembe")*('4-Gün-Saat-Derslik Atama'!$M$7:$M$456&lt;=1)*('4-Gün-Saat-Derslik Atama'!$N$7:$N$456&gt;=1))</f>
        <v>0</v>
      </c>
      <c r="F2" s="0" t="n">
        <f aca="false">SUMPRODUCT(('4-Gün-Saat-Derslik Atama'!$A$7:$A$456="Seçildi")*('4-Gün-Saat-Derslik Atama'!$D$7:$D$456=1)*('4-Gün-Saat-Derslik Atama'!$I$7:$I$456="Cuma")*('4-Gün-Saat-Derslik Atama'!$M$7:$M$456&lt;=1)*('4-Gün-Saat-Derslik Atama'!$N$7:$N$456&gt;=1))</f>
        <v>0</v>
      </c>
    </row>
    <row r="3" customFormat="false" ht="15" hidden="false" customHeight="false" outlineLevel="0" collapsed="false">
      <c r="A3" s="0" t="s">
        <v>325</v>
      </c>
      <c r="B3" s="0" t="n">
        <f aca="false">SUMPRODUCT(('4-Gün-Saat-Derslik Atama'!$A$7:$A$456="Seçildi")*('4-Gün-Saat-Derslik Atama'!$D$7:$D$456=1)*('4-Gün-Saat-Derslik Atama'!$I$7:$I$456="Pazartesi")*('4-Gün-Saat-Derslik Atama'!$M$7:$M$456&lt;=2)*('4-Gün-Saat-Derslik Atama'!$N$7:$N$456&gt;=2))</f>
        <v>0</v>
      </c>
      <c r="C3" s="0" t="n">
        <f aca="false">SUMPRODUCT(('4-Gün-Saat-Derslik Atama'!$A$7:$A$456="Seçildi")*('4-Gün-Saat-Derslik Atama'!$D$7:$D$456=1)*('4-Gün-Saat-Derslik Atama'!$I$7:$I$456="Salı")*('4-Gün-Saat-Derslik Atama'!$M$7:$M$456&lt;=2)*('4-Gün-Saat-Derslik Atama'!$N$7:$N$456&gt;=2))</f>
        <v>0</v>
      </c>
      <c r="D3" s="0" t="n">
        <f aca="false">SUMPRODUCT(('4-Gün-Saat-Derslik Atama'!$A$7:$A$456="Seçildi")*('4-Gün-Saat-Derslik Atama'!$D$7:$D$456=1)*('4-Gün-Saat-Derslik Atama'!$I$7:$I$456="Çarşamba")*('4-Gün-Saat-Derslik Atama'!$M$7:$M$456&lt;=2)*('4-Gün-Saat-Derslik Atama'!$N$7:$N$456&gt;=2))</f>
        <v>0</v>
      </c>
      <c r="E3" s="0" t="n">
        <f aca="false">SUMPRODUCT(('4-Gün-Saat-Derslik Atama'!$A$7:$A$456="Seçildi")*('4-Gün-Saat-Derslik Atama'!$D$7:$D$456=1)*('4-Gün-Saat-Derslik Atama'!$I$7:$I$456="Perşembe")*('4-Gün-Saat-Derslik Atama'!$M$7:$M$456&lt;=2)*('4-Gün-Saat-Derslik Atama'!$N$7:$N$456&gt;=2))</f>
        <v>0</v>
      </c>
      <c r="F3" s="0" t="n">
        <f aca="false">SUMPRODUCT(('4-Gün-Saat-Derslik Atama'!$A$7:$A$456="Seçildi")*('4-Gün-Saat-Derslik Atama'!$D$7:$D$456=1)*('4-Gün-Saat-Derslik Atama'!$I$7:$I$456="Cuma")*('4-Gün-Saat-Derslik Atama'!$M$7:$M$456&lt;=2)*('4-Gün-Saat-Derslik Atama'!$N$7:$N$456&gt;=2))</f>
        <v>0</v>
      </c>
    </row>
    <row r="4" customFormat="false" ht="15" hidden="false" customHeight="false" outlineLevel="0" collapsed="false">
      <c r="A4" s="0" t="s">
        <v>326</v>
      </c>
      <c r="B4" s="0" t="n">
        <f aca="false">SUMPRODUCT(('4-Gün-Saat-Derslik Atama'!$A$7:$A$456="Seçildi")*('4-Gün-Saat-Derslik Atama'!$D$7:$D$456=1)*('4-Gün-Saat-Derslik Atama'!$I$7:$I$456="Pazartesi")*('4-Gün-Saat-Derslik Atama'!$M$7:$M$456&lt;=3)*('4-Gün-Saat-Derslik Atama'!$N$7:$N$456&gt;=3))</f>
        <v>0</v>
      </c>
      <c r="C4" s="0" t="n">
        <f aca="false">SUMPRODUCT(('4-Gün-Saat-Derslik Atama'!$A$7:$A$456="Seçildi")*('4-Gün-Saat-Derslik Atama'!$D$7:$D$456=1)*('4-Gün-Saat-Derslik Atama'!$I$7:$I$456="Salı")*('4-Gün-Saat-Derslik Atama'!$M$7:$M$456&lt;=3)*('4-Gün-Saat-Derslik Atama'!$N$7:$N$456&gt;=3))</f>
        <v>0</v>
      </c>
      <c r="D4" s="0" t="n">
        <f aca="false">SUMPRODUCT(('4-Gün-Saat-Derslik Atama'!$A$7:$A$456="Seçildi")*('4-Gün-Saat-Derslik Atama'!$D$7:$D$456=1)*('4-Gün-Saat-Derslik Atama'!$I$7:$I$456="Çarşamba")*('4-Gün-Saat-Derslik Atama'!$M$7:$M$456&lt;=3)*('4-Gün-Saat-Derslik Atama'!$N$7:$N$456&gt;=3))</f>
        <v>0</v>
      </c>
      <c r="E4" s="0" t="n">
        <f aca="false">SUMPRODUCT(('4-Gün-Saat-Derslik Atama'!$A$7:$A$456="Seçildi")*('4-Gün-Saat-Derslik Atama'!$D$7:$D$456=1)*('4-Gün-Saat-Derslik Atama'!$I$7:$I$456="Perşembe")*('4-Gün-Saat-Derslik Atama'!$M$7:$M$456&lt;=3)*('4-Gün-Saat-Derslik Atama'!$N$7:$N$456&gt;=3))</f>
        <v>0</v>
      </c>
      <c r="F4" s="0" t="n">
        <f aca="false">SUMPRODUCT(('4-Gün-Saat-Derslik Atama'!$A$7:$A$456="Seçildi")*('4-Gün-Saat-Derslik Atama'!$D$7:$D$456=1)*('4-Gün-Saat-Derslik Atama'!$I$7:$I$456="Cuma")*('4-Gün-Saat-Derslik Atama'!$M$7:$M$456&lt;=3)*('4-Gün-Saat-Derslik Atama'!$N$7:$N$456&gt;=3))</f>
        <v>0</v>
      </c>
    </row>
    <row r="5" customFormat="false" ht="15" hidden="false" customHeight="false" outlineLevel="0" collapsed="false">
      <c r="A5" s="0" t="s">
        <v>327</v>
      </c>
      <c r="B5" s="0" t="n">
        <f aca="false">SUMPRODUCT(('4-Gün-Saat-Derslik Atama'!$A$7:$A$456="Seçildi")*('4-Gün-Saat-Derslik Atama'!$D$7:$D$456=1)*('4-Gün-Saat-Derslik Atama'!$I$7:$I$456="Pazartesi")*('4-Gün-Saat-Derslik Atama'!$M$7:$M$456&lt;=4)*('4-Gün-Saat-Derslik Atama'!$N$7:$N$456&gt;=4))</f>
        <v>0</v>
      </c>
      <c r="C5" s="0" t="n">
        <f aca="false">SUMPRODUCT(('4-Gün-Saat-Derslik Atama'!$A$7:$A$456="Seçildi")*('4-Gün-Saat-Derslik Atama'!$D$7:$D$456=1)*('4-Gün-Saat-Derslik Atama'!$I$7:$I$456="Salı")*('4-Gün-Saat-Derslik Atama'!$M$7:$M$456&lt;=4)*('4-Gün-Saat-Derslik Atama'!$N$7:$N$456&gt;=4))</f>
        <v>0</v>
      </c>
      <c r="D5" s="0" t="n">
        <f aca="false">SUMPRODUCT(('4-Gün-Saat-Derslik Atama'!$A$7:$A$456="Seçildi")*('4-Gün-Saat-Derslik Atama'!$D$7:$D$456=1)*('4-Gün-Saat-Derslik Atama'!$I$7:$I$456="Çarşamba")*('4-Gün-Saat-Derslik Atama'!$M$7:$M$456&lt;=4)*('4-Gün-Saat-Derslik Atama'!$N$7:$N$456&gt;=4))</f>
        <v>0</v>
      </c>
      <c r="E5" s="0" t="n">
        <f aca="false">SUMPRODUCT(('4-Gün-Saat-Derslik Atama'!$A$7:$A$456="Seçildi")*('4-Gün-Saat-Derslik Atama'!$D$7:$D$456=1)*('4-Gün-Saat-Derslik Atama'!$I$7:$I$456="Perşembe")*('4-Gün-Saat-Derslik Atama'!$M$7:$M$456&lt;=4)*('4-Gün-Saat-Derslik Atama'!$N$7:$N$456&gt;=4))</f>
        <v>0</v>
      </c>
      <c r="F5" s="0" t="n">
        <f aca="false">SUMPRODUCT(('4-Gün-Saat-Derslik Atama'!$A$7:$A$456="Seçildi")*('4-Gün-Saat-Derslik Atama'!$D$7:$D$456=1)*('4-Gün-Saat-Derslik Atama'!$I$7:$I$456="Cuma")*('4-Gün-Saat-Derslik Atama'!$M$7:$M$456&lt;=4)*('4-Gün-Saat-Derslik Atama'!$N$7:$N$456&gt;=4))</f>
        <v>0</v>
      </c>
    </row>
    <row r="6" customFormat="false" ht="15" hidden="false" customHeight="false" outlineLevel="0" collapsed="false">
      <c r="A6" s="0" t="s">
        <v>328</v>
      </c>
      <c r="B6" s="0" t="n">
        <f aca="false">SUMPRODUCT(('4-Gün-Saat-Derslik Atama'!$A$7:$A$456="Seçildi")*('4-Gün-Saat-Derslik Atama'!$D$7:$D$456=1)*('4-Gün-Saat-Derslik Atama'!$I$7:$I$456="Pazartesi")*('4-Gün-Saat-Derslik Atama'!$M$7:$M$456&lt;=5)*('4-Gün-Saat-Derslik Atama'!$N$7:$N$456&gt;=5))</f>
        <v>0</v>
      </c>
      <c r="C6" s="0" t="n">
        <f aca="false">SUMPRODUCT(('4-Gün-Saat-Derslik Atama'!$A$7:$A$456="Seçildi")*('4-Gün-Saat-Derslik Atama'!$D$7:$D$456=1)*('4-Gün-Saat-Derslik Atama'!$I$7:$I$456="Salı")*('4-Gün-Saat-Derslik Atama'!$M$7:$M$456&lt;=5)*('4-Gün-Saat-Derslik Atama'!$N$7:$N$456&gt;=5))</f>
        <v>0</v>
      </c>
      <c r="D6" s="0" t="n">
        <f aca="false">SUMPRODUCT(('4-Gün-Saat-Derslik Atama'!$A$7:$A$456="Seçildi")*('4-Gün-Saat-Derslik Atama'!$D$7:$D$456=1)*('4-Gün-Saat-Derslik Atama'!$I$7:$I$456="Çarşamba")*('4-Gün-Saat-Derslik Atama'!$M$7:$M$456&lt;=5)*('4-Gün-Saat-Derslik Atama'!$N$7:$N$456&gt;=5))</f>
        <v>0</v>
      </c>
      <c r="E6" s="0" t="n">
        <f aca="false">SUMPRODUCT(('4-Gün-Saat-Derslik Atama'!$A$7:$A$456="Seçildi")*('4-Gün-Saat-Derslik Atama'!$D$7:$D$456=1)*('4-Gün-Saat-Derslik Atama'!$I$7:$I$456="Perşembe")*('4-Gün-Saat-Derslik Atama'!$M$7:$M$456&lt;=5)*('4-Gün-Saat-Derslik Atama'!$N$7:$N$456&gt;=5))</f>
        <v>0</v>
      </c>
      <c r="F6" s="0" t="n">
        <f aca="false">SUMPRODUCT(('4-Gün-Saat-Derslik Atama'!$A$7:$A$456="Seçildi")*('4-Gün-Saat-Derslik Atama'!$D$7:$D$456=1)*('4-Gün-Saat-Derslik Atama'!$I$7:$I$456="Cuma")*('4-Gün-Saat-Derslik Atama'!$M$7:$M$456&lt;=5)*('4-Gün-Saat-Derslik Atama'!$N$7:$N$456&gt;=5))</f>
        <v>0</v>
      </c>
    </row>
    <row r="7" customFormat="false" ht="15" hidden="false" customHeight="false" outlineLevel="0" collapsed="false">
      <c r="A7" s="0" t="s">
        <v>329</v>
      </c>
      <c r="B7" s="0" t="n">
        <f aca="false">SUMPRODUCT(('4-Gün-Saat-Derslik Atama'!$A$7:$A$456="Seçildi")*('4-Gün-Saat-Derslik Atama'!$D$7:$D$456=1)*('4-Gün-Saat-Derslik Atama'!$I$7:$I$456="Pazartesi")*('4-Gün-Saat-Derslik Atama'!$M$7:$M$456&lt;=6)*('4-Gün-Saat-Derslik Atama'!$N$7:$N$456&gt;=6))</f>
        <v>0</v>
      </c>
      <c r="C7" s="0" t="n">
        <f aca="false">SUMPRODUCT(('4-Gün-Saat-Derslik Atama'!$A$7:$A$456="Seçildi")*('4-Gün-Saat-Derslik Atama'!$D$7:$D$456=1)*('4-Gün-Saat-Derslik Atama'!$I$7:$I$456="Salı")*('4-Gün-Saat-Derslik Atama'!$M$7:$M$456&lt;=6)*('4-Gün-Saat-Derslik Atama'!$N$7:$N$456&gt;=6))</f>
        <v>0</v>
      </c>
      <c r="D7" s="0" t="n">
        <f aca="false">SUMPRODUCT(('4-Gün-Saat-Derslik Atama'!$A$7:$A$456="Seçildi")*('4-Gün-Saat-Derslik Atama'!$D$7:$D$456=1)*('4-Gün-Saat-Derslik Atama'!$I$7:$I$456="Çarşamba")*('4-Gün-Saat-Derslik Atama'!$M$7:$M$456&lt;=6)*('4-Gün-Saat-Derslik Atama'!$N$7:$N$456&gt;=6))</f>
        <v>0</v>
      </c>
      <c r="E7" s="0" t="n">
        <f aca="false">SUMPRODUCT(('4-Gün-Saat-Derslik Atama'!$A$7:$A$456="Seçildi")*('4-Gün-Saat-Derslik Atama'!$D$7:$D$456=1)*('4-Gün-Saat-Derslik Atama'!$I$7:$I$456="Perşembe")*('4-Gün-Saat-Derslik Atama'!$M$7:$M$456&lt;=6)*('4-Gün-Saat-Derslik Atama'!$N$7:$N$456&gt;=6))</f>
        <v>0</v>
      </c>
      <c r="F7" s="0" t="n">
        <f aca="false">SUMPRODUCT(('4-Gün-Saat-Derslik Atama'!$A$7:$A$456="Seçildi")*('4-Gün-Saat-Derslik Atama'!$D$7:$D$456=1)*('4-Gün-Saat-Derslik Atama'!$I$7:$I$456="Cuma")*('4-Gün-Saat-Derslik Atama'!$M$7:$M$456&lt;=6)*('4-Gün-Saat-Derslik Atama'!$N$7:$N$456&gt;=6))</f>
        <v>0</v>
      </c>
    </row>
    <row r="8" customFormat="false" ht="15" hidden="false" customHeight="false" outlineLevel="0" collapsed="false">
      <c r="A8" s="0" t="s">
        <v>330</v>
      </c>
      <c r="B8" s="0" t="n">
        <f aca="false">SUMPRODUCT(('4-Gün-Saat-Derslik Atama'!$A$7:$A$456="Seçildi")*('4-Gün-Saat-Derslik Atama'!$D$7:$D$456=1)*('4-Gün-Saat-Derslik Atama'!$I$7:$I$456="Pazartesi")*('4-Gün-Saat-Derslik Atama'!$M$7:$M$456&lt;=7)*('4-Gün-Saat-Derslik Atama'!$N$7:$N$456&gt;=7))</f>
        <v>0</v>
      </c>
      <c r="C8" s="0" t="n">
        <f aca="false">SUMPRODUCT(('4-Gün-Saat-Derslik Atama'!$A$7:$A$456="Seçildi")*('4-Gün-Saat-Derslik Atama'!$D$7:$D$456=1)*('4-Gün-Saat-Derslik Atama'!$I$7:$I$456="Salı")*('4-Gün-Saat-Derslik Atama'!$M$7:$M$456&lt;=7)*('4-Gün-Saat-Derslik Atama'!$N$7:$N$456&gt;=7))</f>
        <v>0</v>
      </c>
      <c r="D8" s="0" t="n">
        <f aca="false">SUMPRODUCT(('4-Gün-Saat-Derslik Atama'!$A$7:$A$456="Seçildi")*('4-Gün-Saat-Derslik Atama'!$D$7:$D$456=1)*('4-Gün-Saat-Derslik Atama'!$I$7:$I$456="Çarşamba")*('4-Gün-Saat-Derslik Atama'!$M$7:$M$456&lt;=7)*('4-Gün-Saat-Derslik Atama'!$N$7:$N$456&gt;=7))</f>
        <v>0</v>
      </c>
      <c r="E8" s="0" t="n">
        <f aca="false">SUMPRODUCT(('4-Gün-Saat-Derslik Atama'!$A$7:$A$456="Seçildi")*('4-Gün-Saat-Derslik Atama'!$D$7:$D$456=1)*('4-Gün-Saat-Derslik Atama'!$I$7:$I$456="Perşembe")*('4-Gün-Saat-Derslik Atama'!$M$7:$M$456&lt;=7)*('4-Gün-Saat-Derslik Atama'!$N$7:$N$456&gt;=7))</f>
        <v>0</v>
      </c>
      <c r="F8" s="0" t="n">
        <f aca="false">SUMPRODUCT(('4-Gün-Saat-Derslik Atama'!$A$7:$A$456="Seçildi")*('4-Gün-Saat-Derslik Atama'!$D$7:$D$456=1)*('4-Gün-Saat-Derslik Atama'!$I$7:$I$456="Cuma")*('4-Gün-Saat-Derslik Atama'!$M$7:$M$456&lt;=7)*('4-Gün-Saat-Derslik Atama'!$N$7:$N$456&gt;=7))</f>
        <v>0</v>
      </c>
    </row>
    <row r="9" customFormat="false" ht="15" hidden="false" customHeight="false" outlineLevel="0" collapsed="false">
      <c r="A9" s="0" t="s">
        <v>331</v>
      </c>
      <c r="B9" s="0" t="n">
        <f aca="false">SUMPRODUCT(('4-Gün-Saat-Derslik Atama'!$A$7:$A$456="Seçildi")*('4-Gün-Saat-Derslik Atama'!$D$7:$D$456=1)*('4-Gün-Saat-Derslik Atama'!$I$7:$I$456="Pazartesi")*('4-Gün-Saat-Derslik Atama'!$M$7:$M$456&lt;=8)*('4-Gün-Saat-Derslik Atama'!$N$7:$N$456&gt;=8))</f>
        <v>0</v>
      </c>
      <c r="C9" s="0" t="n">
        <f aca="false">SUMPRODUCT(('4-Gün-Saat-Derslik Atama'!$A$7:$A$456="Seçildi")*('4-Gün-Saat-Derslik Atama'!$D$7:$D$456=1)*('4-Gün-Saat-Derslik Atama'!$I$7:$I$456="Salı")*('4-Gün-Saat-Derslik Atama'!$M$7:$M$456&lt;=8)*('4-Gün-Saat-Derslik Atama'!$N$7:$N$456&gt;=8))</f>
        <v>0</v>
      </c>
      <c r="D9" s="0" t="n">
        <f aca="false">SUMPRODUCT(('4-Gün-Saat-Derslik Atama'!$A$7:$A$456="Seçildi")*('4-Gün-Saat-Derslik Atama'!$D$7:$D$456=1)*('4-Gün-Saat-Derslik Atama'!$I$7:$I$456="Çarşamba")*('4-Gün-Saat-Derslik Atama'!$M$7:$M$456&lt;=8)*('4-Gün-Saat-Derslik Atama'!$N$7:$N$456&gt;=8))</f>
        <v>0</v>
      </c>
      <c r="E9" s="0" t="n">
        <f aca="false">SUMPRODUCT(('4-Gün-Saat-Derslik Atama'!$A$7:$A$456="Seçildi")*('4-Gün-Saat-Derslik Atama'!$D$7:$D$456=1)*('4-Gün-Saat-Derslik Atama'!$I$7:$I$456="Perşembe")*('4-Gün-Saat-Derslik Atama'!$M$7:$M$456&lt;=8)*('4-Gün-Saat-Derslik Atama'!$N$7:$N$456&gt;=8))</f>
        <v>0</v>
      </c>
      <c r="F9" s="0" t="n">
        <f aca="false">SUMPRODUCT(('4-Gün-Saat-Derslik Atama'!$A$7:$A$456="Seçildi")*('4-Gün-Saat-Derslik Atama'!$D$7:$D$456=1)*('4-Gün-Saat-Derslik Atama'!$I$7:$I$456="Cuma")*('4-Gün-Saat-Derslik Atama'!$M$7:$M$456&lt;=8)*('4-Gün-Saat-Derslik Atama'!$N$7:$N$456&gt;=8))</f>
        <v>0</v>
      </c>
    </row>
    <row r="10" customFormat="false" ht="15" hidden="false" customHeight="false" outlineLevel="0" collapsed="false">
      <c r="A10" s="0" t="s">
        <v>332</v>
      </c>
      <c r="B10" s="0" t="n">
        <f aca="false">SUMPRODUCT(('4-Gün-Saat-Derslik Atama'!$A$7:$A$456="Seçildi")*('4-Gün-Saat-Derslik Atama'!$D$7:$D$456=1)*('4-Gün-Saat-Derslik Atama'!$I$7:$I$456="Pazartesi")*('4-Gün-Saat-Derslik Atama'!$M$7:$M$456&lt;=9)*('4-Gün-Saat-Derslik Atama'!$N$7:$N$456&gt;=9))</f>
        <v>0</v>
      </c>
      <c r="C10" s="0" t="n">
        <f aca="false">SUMPRODUCT(('4-Gün-Saat-Derslik Atama'!$A$7:$A$456="Seçildi")*('4-Gün-Saat-Derslik Atama'!$D$7:$D$456=1)*('4-Gün-Saat-Derslik Atama'!$I$7:$I$456="Salı")*('4-Gün-Saat-Derslik Atama'!$M$7:$M$456&lt;=9)*('4-Gün-Saat-Derslik Atama'!$N$7:$N$456&gt;=9))</f>
        <v>0</v>
      </c>
      <c r="D10" s="0" t="n">
        <f aca="false">SUMPRODUCT(('4-Gün-Saat-Derslik Atama'!$A$7:$A$456="Seçildi")*('4-Gün-Saat-Derslik Atama'!$D$7:$D$456=1)*('4-Gün-Saat-Derslik Atama'!$I$7:$I$456="Çarşamba")*('4-Gün-Saat-Derslik Atama'!$M$7:$M$456&lt;=9)*('4-Gün-Saat-Derslik Atama'!$N$7:$N$456&gt;=9))</f>
        <v>0</v>
      </c>
      <c r="E10" s="0" t="n">
        <f aca="false">SUMPRODUCT(('4-Gün-Saat-Derslik Atama'!$A$7:$A$456="Seçildi")*('4-Gün-Saat-Derslik Atama'!$D$7:$D$456=1)*('4-Gün-Saat-Derslik Atama'!$I$7:$I$456="Perşembe")*('4-Gün-Saat-Derslik Atama'!$M$7:$M$456&lt;=9)*('4-Gün-Saat-Derslik Atama'!$N$7:$N$456&gt;=9))</f>
        <v>0</v>
      </c>
      <c r="F10" s="0" t="n">
        <f aca="false">SUMPRODUCT(('4-Gün-Saat-Derslik Atama'!$A$7:$A$456="Seçildi")*('4-Gün-Saat-Derslik Atama'!$D$7:$D$456=1)*('4-Gün-Saat-Derslik Atama'!$I$7:$I$456="Cuma")*('4-Gün-Saat-Derslik Atama'!$M$7:$M$456&lt;=9)*('4-Gün-Saat-Derslik Atama'!$N$7:$N$456&gt;=9))</f>
        <v>0</v>
      </c>
    </row>
    <row r="11" customFormat="false" ht="15" hidden="false" customHeight="false" outlineLevel="0" collapsed="false">
      <c r="A11" s="0" t="s">
        <v>333</v>
      </c>
      <c r="B11" s="0" t="n">
        <f aca="false">SUMPRODUCT(('4-Gün-Saat-Derslik Atama'!$A$7:$A$456="Seçildi")*('4-Gün-Saat-Derslik Atama'!$D$7:$D$456=1)*('4-Gün-Saat-Derslik Atama'!$I$7:$I$456="Pazartesi")*('4-Gün-Saat-Derslik Atama'!$M$7:$M$456&lt;=10)*('4-Gün-Saat-Derslik Atama'!$N$7:$N$456&gt;=10))</f>
        <v>0</v>
      </c>
      <c r="C11" s="0" t="n">
        <f aca="false">SUMPRODUCT(('4-Gün-Saat-Derslik Atama'!$A$7:$A$456="Seçildi")*('4-Gün-Saat-Derslik Atama'!$D$7:$D$456=1)*('4-Gün-Saat-Derslik Atama'!$I$7:$I$456="Salı")*('4-Gün-Saat-Derslik Atama'!$M$7:$M$456&lt;=10)*('4-Gün-Saat-Derslik Atama'!$N$7:$N$456&gt;=10))</f>
        <v>0</v>
      </c>
      <c r="D11" s="0" t="n">
        <f aca="false">SUMPRODUCT(('4-Gün-Saat-Derslik Atama'!$A$7:$A$456="Seçildi")*('4-Gün-Saat-Derslik Atama'!$D$7:$D$456=1)*('4-Gün-Saat-Derslik Atama'!$I$7:$I$456="Çarşamba")*('4-Gün-Saat-Derslik Atama'!$M$7:$M$456&lt;=10)*('4-Gün-Saat-Derslik Atama'!$N$7:$N$456&gt;=10))</f>
        <v>0</v>
      </c>
      <c r="E11" s="0" t="n">
        <f aca="false">SUMPRODUCT(('4-Gün-Saat-Derslik Atama'!$A$7:$A$456="Seçildi")*('4-Gün-Saat-Derslik Atama'!$D$7:$D$456=1)*('4-Gün-Saat-Derslik Atama'!$I$7:$I$456="Perşembe")*('4-Gün-Saat-Derslik Atama'!$M$7:$M$456&lt;=10)*('4-Gün-Saat-Derslik Atama'!$N$7:$N$456&gt;=10))</f>
        <v>0</v>
      </c>
      <c r="F11" s="0" t="n">
        <f aca="false">SUMPRODUCT(('4-Gün-Saat-Derslik Atama'!$A$7:$A$456="Seçildi")*('4-Gün-Saat-Derslik Atama'!$D$7:$D$456=1)*('4-Gün-Saat-Derslik Atama'!$I$7:$I$456="Cuma")*('4-Gün-Saat-Derslik Atama'!$M$7:$M$456&lt;=10)*('4-Gün-Saat-Derslik Atama'!$N$7:$N$456&gt;=10))</f>
        <v>0</v>
      </c>
    </row>
    <row r="12" customFormat="false" ht="15" hidden="false" customHeight="false" outlineLevel="0" collapsed="false">
      <c r="A12" s="0" t="s">
        <v>334</v>
      </c>
    </row>
    <row r="13" customFormat="false" ht="15" hidden="false" customHeight="false" outlineLevel="0" collapsed="false">
      <c r="A13" s="0" t="s">
        <v>324</v>
      </c>
      <c r="B13" s="0" t="n">
        <f aca="false">SUMPRODUCT(('4-Gün-Saat-Derslik Atama'!$A$7:$A$456="Seçildi")*('4-Gün-Saat-Derslik Atama'!$D$7:$D$456=1)*('4-Gün-Saat-Derslik Atama'!$I$7:$I$456="Pazartesi")*('4-Gün-Saat-Derslik Atama'!$M$7:$M$456&lt;=1)*('4-Gün-Saat-Derslik Atama'!$N$7:$N$456&gt;=1)*(ROW('4-Gün-Saat-Derslik Atama'!$A$7:$A$456)-7+1))</f>
        <v>0</v>
      </c>
      <c r="C13" s="0" t="n">
        <f aca="false">SUMPRODUCT(('4-Gün-Saat-Derslik Atama'!$A$7:$A$456="Seçildi")*('4-Gün-Saat-Derslik Atama'!$D$7:$D$456=1)*('4-Gün-Saat-Derslik Atama'!$I$7:$I$456="Salı")*('4-Gün-Saat-Derslik Atama'!$M$7:$M$456&lt;=1)*('4-Gün-Saat-Derslik Atama'!$N$7:$N$456&gt;=1)*(ROW('4-Gün-Saat-Derslik Atama'!$A$7:$A$456)-7+1))</f>
        <v>0</v>
      </c>
      <c r="D13" s="0" t="n">
        <f aca="false">SUMPRODUCT(('4-Gün-Saat-Derslik Atama'!$A$7:$A$456="Seçildi")*('4-Gün-Saat-Derslik Atama'!$D$7:$D$456=1)*('4-Gün-Saat-Derslik Atama'!$I$7:$I$456="Çarşamba")*('4-Gün-Saat-Derslik Atama'!$M$7:$M$456&lt;=1)*('4-Gün-Saat-Derslik Atama'!$N$7:$N$456&gt;=1)*(ROW('4-Gün-Saat-Derslik Atama'!$A$7:$A$456)-7+1))</f>
        <v>0</v>
      </c>
      <c r="E13" s="0" t="n">
        <f aca="false">SUMPRODUCT(('4-Gün-Saat-Derslik Atama'!$A$7:$A$456="Seçildi")*('4-Gün-Saat-Derslik Atama'!$D$7:$D$456=1)*('4-Gün-Saat-Derslik Atama'!$I$7:$I$456="Perşembe")*('4-Gün-Saat-Derslik Atama'!$M$7:$M$456&lt;=1)*('4-Gün-Saat-Derslik Atama'!$N$7:$N$456&gt;=1)*(ROW('4-Gün-Saat-Derslik Atama'!$A$7:$A$456)-7+1))</f>
        <v>0</v>
      </c>
      <c r="F13" s="0" t="n">
        <f aca="false">SUMPRODUCT(('4-Gün-Saat-Derslik Atama'!$A$7:$A$456="Seçildi")*('4-Gün-Saat-Derslik Atama'!$D$7:$D$456=1)*('4-Gün-Saat-Derslik Atama'!$I$7:$I$456="Cuma")*('4-Gün-Saat-Derslik Atama'!$M$7:$M$456&lt;=1)*('4-Gün-Saat-Derslik Atama'!$N$7:$N$456&gt;=1)*(ROW('4-Gün-Saat-Derslik Atama'!$A$7:$A$456)-7+1))</f>
        <v>0</v>
      </c>
    </row>
    <row r="14" customFormat="false" ht="15" hidden="false" customHeight="false" outlineLevel="0" collapsed="false">
      <c r="A14" s="0" t="s">
        <v>325</v>
      </c>
      <c r="B14" s="0" t="n">
        <f aca="false">SUMPRODUCT(('4-Gün-Saat-Derslik Atama'!$A$7:$A$456="Seçildi")*('4-Gün-Saat-Derslik Atama'!$D$7:$D$456=1)*('4-Gün-Saat-Derslik Atama'!$I$7:$I$456="Pazartesi")*('4-Gün-Saat-Derslik Atama'!$M$7:$M$456&lt;=2)*('4-Gün-Saat-Derslik Atama'!$N$7:$N$456&gt;=2)*(ROW('4-Gün-Saat-Derslik Atama'!$A$7:$A$456)-7+1))</f>
        <v>0</v>
      </c>
      <c r="C14" s="0" t="n">
        <f aca="false">SUMPRODUCT(('4-Gün-Saat-Derslik Atama'!$A$7:$A$456="Seçildi")*('4-Gün-Saat-Derslik Atama'!$D$7:$D$456=1)*('4-Gün-Saat-Derslik Atama'!$I$7:$I$456="Salı")*('4-Gün-Saat-Derslik Atama'!$M$7:$M$456&lt;=2)*('4-Gün-Saat-Derslik Atama'!$N$7:$N$456&gt;=2)*(ROW('4-Gün-Saat-Derslik Atama'!$A$7:$A$456)-7+1))</f>
        <v>0</v>
      </c>
      <c r="D14" s="0" t="n">
        <f aca="false">SUMPRODUCT(('4-Gün-Saat-Derslik Atama'!$A$7:$A$456="Seçildi")*('4-Gün-Saat-Derslik Atama'!$D$7:$D$456=1)*('4-Gün-Saat-Derslik Atama'!$I$7:$I$456="Çarşamba")*('4-Gün-Saat-Derslik Atama'!$M$7:$M$456&lt;=2)*('4-Gün-Saat-Derslik Atama'!$N$7:$N$456&gt;=2)*(ROW('4-Gün-Saat-Derslik Atama'!$A$7:$A$456)-7+1))</f>
        <v>0</v>
      </c>
      <c r="E14" s="0" t="n">
        <f aca="false">SUMPRODUCT(('4-Gün-Saat-Derslik Atama'!$A$7:$A$456="Seçildi")*('4-Gün-Saat-Derslik Atama'!$D$7:$D$456=1)*('4-Gün-Saat-Derslik Atama'!$I$7:$I$456="Perşembe")*('4-Gün-Saat-Derslik Atama'!$M$7:$M$456&lt;=2)*('4-Gün-Saat-Derslik Atama'!$N$7:$N$456&gt;=2)*(ROW('4-Gün-Saat-Derslik Atama'!$A$7:$A$456)-7+1))</f>
        <v>0</v>
      </c>
      <c r="F14" s="0" t="n">
        <f aca="false">SUMPRODUCT(('4-Gün-Saat-Derslik Atama'!$A$7:$A$456="Seçildi")*('4-Gün-Saat-Derslik Atama'!$D$7:$D$456=1)*('4-Gün-Saat-Derslik Atama'!$I$7:$I$456="Cuma")*('4-Gün-Saat-Derslik Atama'!$M$7:$M$456&lt;=2)*('4-Gün-Saat-Derslik Atama'!$N$7:$N$456&gt;=2)*(ROW('4-Gün-Saat-Derslik Atama'!$A$7:$A$456)-7+1))</f>
        <v>0</v>
      </c>
    </row>
    <row r="15" customFormat="false" ht="15" hidden="false" customHeight="false" outlineLevel="0" collapsed="false">
      <c r="A15" s="0" t="s">
        <v>326</v>
      </c>
      <c r="B15" s="0" t="n">
        <f aca="false">SUMPRODUCT(('4-Gün-Saat-Derslik Atama'!$A$7:$A$456="Seçildi")*('4-Gün-Saat-Derslik Atama'!$D$7:$D$456=1)*('4-Gün-Saat-Derslik Atama'!$I$7:$I$456="Pazartesi")*('4-Gün-Saat-Derslik Atama'!$M$7:$M$456&lt;=3)*('4-Gün-Saat-Derslik Atama'!$N$7:$N$456&gt;=3)*(ROW('4-Gün-Saat-Derslik Atama'!$A$7:$A$456)-7+1))</f>
        <v>0</v>
      </c>
      <c r="C15" s="0" t="n">
        <f aca="false">SUMPRODUCT(('4-Gün-Saat-Derslik Atama'!$A$7:$A$456="Seçildi")*('4-Gün-Saat-Derslik Atama'!$D$7:$D$456=1)*('4-Gün-Saat-Derslik Atama'!$I$7:$I$456="Salı")*('4-Gün-Saat-Derslik Atama'!$M$7:$M$456&lt;=3)*('4-Gün-Saat-Derslik Atama'!$N$7:$N$456&gt;=3)*(ROW('4-Gün-Saat-Derslik Atama'!$A$7:$A$456)-7+1))</f>
        <v>0</v>
      </c>
      <c r="D15" s="0" t="n">
        <f aca="false">SUMPRODUCT(('4-Gün-Saat-Derslik Atama'!$A$7:$A$456="Seçildi")*('4-Gün-Saat-Derslik Atama'!$D$7:$D$456=1)*('4-Gün-Saat-Derslik Atama'!$I$7:$I$456="Çarşamba")*('4-Gün-Saat-Derslik Atama'!$M$7:$M$456&lt;=3)*('4-Gün-Saat-Derslik Atama'!$N$7:$N$456&gt;=3)*(ROW('4-Gün-Saat-Derslik Atama'!$A$7:$A$456)-7+1))</f>
        <v>0</v>
      </c>
      <c r="E15" s="0" t="n">
        <f aca="false">SUMPRODUCT(('4-Gün-Saat-Derslik Atama'!$A$7:$A$456="Seçildi")*('4-Gün-Saat-Derslik Atama'!$D$7:$D$456=1)*('4-Gün-Saat-Derslik Atama'!$I$7:$I$456="Perşembe")*('4-Gün-Saat-Derslik Atama'!$M$7:$M$456&lt;=3)*('4-Gün-Saat-Derslik Atama'!$N$7:$N$456&gt;=3)*(ROW('4-Gün-Saat-Derslik Atama'!$A$7:$A$456)-7+1))</f>
        <v>0</v>
      </c>
      <c r="F15" s="0" t="n">
        <f aca="false">SUMPRODUCT(('4-Gün-Saat-Derslik Atama'!$A$7:$A$456="Seçildi")*('4-Gün-Saat-Derslik Atama'!$D$7:$D$456=1)*('4-Gün-Saat-Derslik Atama'!$I$7:$I$456="Cuma")*('4-Gün-Saat-Derslik Atama'!$M$7:$M$456&lt;=3)*('4-Gün-Saat-Derslik Atama'!$N$7:$N$456&gt;=3)*(ROW('4-Gün-Saat-Derslik Atama'!$A$7:$A$456)-7+1))</f>
        <v>0</v>
      </c>
    </row>
    <row r="16" customFormat="false" ht="15" hidden="false" customHeight="false" outlineLevel="0" collapsed="false">
      <c r="A16" s="0" t="s">
        <v>327</v>
      </c>
      <c r="B16" s="0" t="n">
        <f aca="false">SUMPRODUCT(('4-Gün-Saat-Derslik Atama'!$A$7:$A$456="Seçildi")*('4-Gün-Saat-Derslik Atama'!$D$7:$D$456=1)*('4-Gün-Saat-Derslik Atama'!$I$7:$I$456="Pazartesi")*('4-Gün-Saat-Derslik Atama'!$M$7:$M$456&lt;=4)*('4-Gün-Saat-Derslik Atama'!$N$7:$N$456&gt;=4)*(ROW('4-Gün-Saat-Derslik Atama'!$A$7:$A$456)-7+1))</f>
        <v>0</v>
      </c>
      <c r="C16" s="0" t="n">
        <f aca="false">SUMPRODUCT(('4-Gün-Saat-Derslik Atama'!$A$7:$A$456="Seçildi")*('4-Gün-Saat-Derslik Atama'!$D$7:$D$456=1)*('4-Gün-Saat-Derslik Atama'!$I$7:$I$456="Salı")*('4-Gün-Saat-Derslik Atama'!$M$7:$M$456&lt;=4)*('4-Gün-Saat-Derslik Atama'!$N$7:$N$456&gt;=4)*(ROW('4-Gün-Saat-Derslik Atama'!$A$7:$A$456)-7+1))</f>
        <v>0</v>
      </c>
      <c r="D16" s="0" t="n">
        <f aca="false">SUMPRODUCT(('4-Gün-Saat-Derslik Atama'!$A$7:$A$456="Seçildi")*('4-Gün-Saat-Derslik Atama'!$D$7:$D$456=1)*('4-Gün-Saat-Derslik Atama'!$I$7:$I$456="Çarşamba")*('4-Gün-Saat-Derslik Atama'!$M$7:$M$456&lt;=4)*('4-Gün-Saat-Derslik Atama'!$N$7:$N$456&gt;=4)*(ROW('4-Gün-Saat-Derslik Atama'!$A$7:$A$456)-7+1))</f>
        <v>0</v>
      </c>
      <c r="E16" s="0" t="n">
        <f aca="false">SUMPRODUCT(('4-Gün-Saat-Derslik Atama'!$A$7:$A$456="Seçildi")*('4-Gün-Saat-Derslik Atama'!$D$7:$D$456=1)*('4-Gün-Saat-Derslik Atama'!$I$7:$I$456="Perşembe")*('4-Gün-Saat-Derslik Atama'!$M$7:$M$456&lt;=4)*('4-Gün-Saat-Derslik Atama'!$N$7:$N$456&gt;=4)*(ROW('4-Gün-Saat-Derslik Atama'!$A$7:$A$456)-7+1))</f>
        <v>0</v>
      </c>
      <c r="F16" s="0" t="n">
        <f aca="false">SUMPRODUCT(('4-Gün-Saat-Derslik Atama'!$A$7:$A$456="Seçildi")*('4-Gün-Saat-Derslik Atama'!$D$7:$D$456=1)*('4-Gün-Saat-Derslik Atama'!$I$7:$I$456="Cuma")*('4-Gün-Saat-Derslik Atama'!$M$7:$M$456&lt;=4)*('4-Gün-Saat-Derslik Atama'!$N$7:$N$456&gt;=4)*(ROW('4-Gün-Saat-Derslik Atama'!$A$7:$A$456)-7+1))</f>
        <v>0</v>
      </c>
    </row>
    <row r="17" customFormat="false" ht="15" hidden="false" customHeight="false" outlineLevel="0" collapsed="false">
      <c r="A17" s="0" t="s">
        <v>328</v>
      </c>
      <c r="B17" s="0" t="n">
        <f aca="false">SUMPRODUCT(('4-Gün-Saat-Derslik Atama'!$A$7:$A$456="Seçildi")*('4-Gün-Saat-Derslik Atama'!$D$7:$D$456=1)*('4-Gün-Saat-Derslik Atama'!$I$7:$I$456="Pazartesi")*('4-Gün-Saat-Derslik Atama'!$M$7:$M$456&lt;=5)*('4-Gün-Saat-Derslik Atama'!$N$7:$N$456&gt;=5)*(ROW('4-Gün-Saat-Derslik Atama'!$A$7:$A$456)-7+1))</f>
        <v>0</v>
      </c>
      <c r="C17" s="0" t="n">
        <f aca="false">SUMPRODUCT(('4-Gün-Saat-Derslik Atama'!$A$7:$A$456="Seçildi")*('4-Gün-Saat-Derslik Atama'!$D$7:$D$456=1)*('4-Gün-Saat-Derslik Atama'!$I$7:$I$456="Salı")*('4-Gün-Saat-Derslik Atama'!$M$7:$M$456&lt;=5)*('4-Gün-Saat-Derslik Atama'!$N$7:$N$456&gt;=5)*(ROW('4-Gün-Saat-Derslik Atama'!$A$7:$A$456)-7+1))</f>
        <v>0</v>
      </c>
      <c r="D17" s="0" t="n">
        <f aca="false">SUMPRODUCT(('4-Gün-Saat-Derslik Atama'!$A$7:$A$456="Seçildi")*('4-Gün-Saat-Derslik Atama'!$D$7:$D$456=1)*('4-Gün-Saat-Derslik Atama'!$I$7:$I$456="Çarşamba")*('4-Gün-Saat-Derslik Atama'!$M$7:$M$456&lt;=5)*('4-Gün-Saat-Derslik Atama'!$N$7:$N$456&gt;=5)*(ROW('4-Gün-Saat-Derslik Atama'!$A$7:$A$456)-7+1))</f>
        <v>0</v>
      </c>
      <c r="E17" s="0" t="n">
        <f aca="false">SUMPRODUCT(('4-Gün-Saat-Derslik Atama'!$A$7:$A$456="Seçildi")*('4-Gün-Saat-Derslik Atama'!$D$7:$D$456=1)*('4-Gün-Saat-Derslik Atama'!$I$7:$I$456="Perşembe")*('4-Gün-Saat-Derslik Atama'!$M$7:$M$456&lt;=5)*('4-Gün-Saat-Derslik Atama'!$N$7:$N$456&gt;=5)*(ROW('4-Gün-Saat-Derslik Atama'!$A$7:$A$456)-7+1))</f>
        <v>0</v>
      </c>
      <c r="F17" s="0" t="n">
        <f aca="false">SUMPRODUCT(('4-Gün-Saat-Derslik Atama'!$A$7:$A$456="Seçildi")*('4-Gün-Saat-Derslik Atama'!$D$7:$D$456=1)*('4-Gün-Saat-Derslik Atama'!$I$7:$I$456="Cuma")*('4-Gün-Saat-Derslik Atama'!$M$7:$M$456&lt;=5)*('4-Gün-Saat-Derslik Atama'!$N$7:$N$456&gt;=5)*(ROW('4-Gün-Saat-Derslik Atama'!$A$7:$A$456)-7+1))</f>
        <v>0</v>
      </c>
    </row>
    <row r="18" customFormat="false" ht="15" hidden="false" customHeight="false" outlineLevel="0" collapsed="false">
      <c r="A18" s="0" t="s">
        <v>329</v>
      </c>
      <c r="B18" s="0" t="n">
        <f aca="false">SUMPRODUCT(('4-Gün-Saat-Derslik Atama'!$A$7:$A$456="Seçildi")*('4-Gün-Saat-Derslik Atama'!$D$7:$D$456=1)*('4-Gün-Saat-Derslik Atama'!$I$7:$I$456="Pazartesi")*('4-Gün-Saat-Derslik Atama'!$M$7:$M$456&lt;=6)*('4-Gün-Saat-Derslik Atama'!$N$7:$N$456&gt;=6)*(ROW('4-Gün-Saat-Derslik Atama'!$A$7:$A$456)-7+1))</f>
        <v>0</v>
      </c>
      <c r="C18" s="0" t="n">
        <f aca="false">SUMPRODUCT(('4-Gün-Saat-Derslik Atama'!$A$7:$A$456="Seçildi")*('4-Gün-Saat-Derslik Atama'!$D$7:$D$456=1)*('4-Gün-Saat-Derslik Atama'!$I$7:$I$456="Salı")*('4-Gün-Saat-Derslik Atama'!$M$7:$M$456&lt;=6)*('4-Gün-Saat-Derslik Atama'!$N$7:$N$456&gt;=6)*(ROW('4-Gün-Saat-Derslik Atama'!$A$7:$A$456)-7+1))</f>
        <v>0</v>
      </c>
      <c r="D18" s="0" t="n">
        <f aca="false">SUMPRODUCT(('4-Gün-Saat-Derslik Atama'!$A$7:$A$456="Seçildi")*('4-Gün-Saat-Derslik Atama'!$D$7:$D$456=1)*('4-Gün-Saat-Derslik Atama'!$I$7:$I$456="Çarşamba")*('4-Gün-Saat-Derslik Atama'!$M$7:$M$456&lt;=6)*('4-Gün-Saat-Derslik Atama'!$N$7:$N$456&gt;=6)*(ROW('4-Gün-Saat-Derslik Atama'!$A$7:$A$456)-7+1))</f>
        <v>0</v>
      </c>
      <c r="E18" s="0" t="n">
        <f aca="false">SUMPRODUCT(('4-Gün-Saat-Derslik Atama'!$A$7:$A$456="Seçildi")*('4-Gün-Saat-Derslik Atama'!$D$7:$D$456=1)*('4-Gün-Saat-Derslik Atama'!$I$7:$I$456="Perşembe")*('4-Gün-Saat-Derslik Atama'!$M$7:$M$456&lt;=6)*('4-Gün-Saat-Derslik Atama'!$N$7:$N$456&gt;=6)*(ROW('4-Gün-Saat-Derslik Atama'!$A$7:$A$456)-7+1))</f>
        <v>0</v>
      </c>
      <c r="F18" s="0" t="n">
        <f aca="false">SUMPRODUCT(('4-Gün-Saat-Derslik Atama'!$A$7:$A$456="Seçildi")*('4-Gün-Saat-Derslik Atama'!$D$7:$D$456=1)*('4-Gün-Saat-Derslik Atama'!$I$7:$I$456="Cuma")*('4-Gün-Saat-Derslik Atama'!$M$7:$M$456&lt;=6)*('4-Gün-Saat-Derslik Atama'!$N$7:$N$456&gt;=6)*(ROW('4-Gün-Saat-Derslik Atama'!$A$7:$A$456)-7+1))</f>
        <v>0</v>
      </c>
    </row>
    <row r="19" customFormat="false" ht="15" hidden="false" customHeight="false" outlineLevel="0" collapsed="false">
      <c r="A19" s="0" t="s">
        <v>330</v>
      </c>
      <c r="B19" s="0" t="n">
        <f aca="false">SUMPRODUCT(('4-Gün-Saat-Derslik Atama'!$A$7:$A$456="Seçildi")*('4-Gün-Saat-Derslik Atama'!$D$7:$D$456=1)*('4-Gün-Saat-Derslik Atama'!$I$7:$I$456="Pazartesi")*('4-Gün-Saat-Derslik Atama'!$M$7:$M$456&lt;=7)*('4-Gün-Saat-Derslik Atama'!$N$7:$N$456&gt;=7)*(ROW('4-Gün-Saat-Derslik Atama'!$A$7:$A$456)-7+1))</f>
        <v>0</v>
      </c>
      <c r="C19" s="0" t="n">
        <f aca="false">SUMPRODUCT(('4-Gün-Saat-Derslik Atama'!$A$7:$A$456="Seçildi")*('4-Gün-Saat-Derslik Atama'!$D$7:$D$456=1)*('4-Gün-Saat-Derslik Atama'!$I$7:$I$456="Salı")*('4-Gün-Saat-Derslik Atama'!$M$7:$M$456&lt;=7)*('4-Gün-Saat-Derslik Atama'!$N$7:$N$456&gt;=7)*(ROW('4-Gün-Saat-Derslik Atama'!$A$7:$A$456)-7+1))</f>
        <v>0</v>
      </c>
      <c r="D19" s="0" t="n">
        <f aca="false">SUMPRODUCT(('4-Gün-Saat-Derslik Atama'!$A$7:$A$456="Seçildi")*('4-Gün-Saat-Derslik Atama'!$D$7:$D$456=1)*('4-Gün-Saat-Derslik Atama'!$I$7:$I$456="Çarşamba")*('4-Gün-Saat-Derslik Atama'!$M$7:$M$456&lt;=7)*('4-Gün-Saat-Derslik Atama'!$N$7:$N$456&gt;=7)*(ROW('4-Gün-Saat-Derslik Atama'!$A$7:$A$456)-7+1))</f>
        <v>0</v>
      </c>
      <c r="E19" s="0" t="n">
        <f aca="false">SUMPRODUCT(('4-Gün-Saat-Derslik Atama'!$A$7:$A$456="Seçildi")*('4-Gün-Saat-Derslik Atama'!$D$7:$D$456=1)*('4-Gün-Saat-Derslik Atama'!$I$7:$I$456="Perşembe")*('4-Gün-Saat-Derslik Atama'!$M$7:$M$456&lt;=7)*('4-Gün-Saat-Derslik Atama'!$N$7:$N$456&gt;=7)*(ROW('4-Gün-Saat-Derslik Atama'!$A$7:$A$456)-7+1))</f>
        <v>0</v>
      </c>
      <c r="F19" s="0" t="n">
        <f aca="false">SUMPRODUCT(('4-Gün-Saat-Derslik Atama'!$A$7:$A$456="Seçildi")*('4-Gün-Saat-Derslik Atama'!$D$7:$D$456=1)*('4-Gün-Saat-Derslik Atama'!$I$7:$I$456="Cuma")*('4-Gün-Saat-Derslik Atama'!$M$7:$M$456&lt;=7)*('4-Gün-Saat-Derslik Atama'!$N$7:$N$456&gt;=7)*(ROW('4-Gün-Saat-Derslik Atama'!$A$7:$A$456)-7+1))</f>
        <v>0</v>
      </c>
    </row>
    <row r="20" customFormat="false" ht="15" hidden="false" customHeight="false" outlineLevel="0" collapsed="false">
      <c r="A20" s="0" t="s">
        <v>331</v>
      </c>
      <c r="B20" s="0" t="n">
        <f aca="false">SUMPRODUCT(('4-Gün-Saat-Derslik Atama'!$A$7:$A$456="Seçildi")*('4-Gün-Saat-Derslik Atama'!$D$7:$D$456=1)*('4-Gün-Saat-Derslik Atama'!$I$7:$I$456="Pazartesi")*('4-Gün-Saat-Derslik Atama'!$M$7:$M$456&lt;=8)*('4-Gün-Saat-Derslik Atama'!$N$7:$N$456&gt;=8)*(ROW('4-Gün-Saat-Derslik Atama'!$A$7:$A$456)-7+1))</f>
        <v>0</v>
      </c>
      <c r="C20" s="0" t="n">
        <f aca="false">SUMPRODUCT(('4-Gün-Saat-Derslik Atama'!$A$7:$A$456="Seçildi")*('4-Gün-Saat-Derslik Atama'!$D$7:$D$456=1)*('4-Gün-Saat-Derslik Atama'!$I$7:$I$456="Salı")*('4-Gün-Saat-Derslik Atama'!$M$7:$M$456&lt;=8)*('4-Gün-Saat-Derslik Atama'!$N$7:$N$456&gt;=8)*(ROW('4-Gün-Saat-Derslik Atama'!$A$7:$A$456)-7+1))</f>
        <v>0</v>
      </c>
      <c r="D20" s="0" t="n">
        <f aca="false">SUMPRODUCT(('4-Gün-Saat-Derslik Atama'!$A$7:$A$456="Seçildi")*('4-Gün-Saat-Derslik Atama'!$D$7:$D$456=1)*('4-Gün-Saat-Derslik Atama'!$I$7:$I$456="Çarşamba")*('4-Gün-Saat-Derslik Atama'!$M$7:$M$456&lt;=8)*('4-Gün-Saat-Derslik Atama'!$N$7:$N$456&gt;=8)*(ROW('4-Gün-Saat-Derslik Atama'!$A$7:$A$456)-7+1))</f>
        <v>0</v>
      </c>
      <c r="E20" s="0" t="n">
        <f aca="false">SUMPRODUCT(('4-Gün-Saat-Derslik Atama'!$A$7:$A$456="Seçildi")*('4-Gün-Saat-Derslik Atama'!$D$7:$D$456=1)*('4-Gün-Saat-Derslik Atama'!$I$7:$I$456="Perşembe")*('4-Gün-Saat-Derslik Atama'!$M$7:$M$456&lt;=8)*('4-Gün-Saat-Derslik Atama'!$N$7:$N$456&gt;=8)*(ROW('4-Gün-Saat-Derslik Atama'!$A$7:$A$456)-7+1))</f>
        <v>0</v>
      </c>
      <c r="F20" s="0" t="n">
        <f aca="false">SUMPRODUCT(('4-Gün-Saat-Derslik Atama'!$A$7:$A$456="Seçildi")*('4-Gün-Saat-Derslik Atama'!$D$7:$D$456=1)*('4-Gün-Saat-Derslik Atama'!$I$7:$I$456="Cuma")*('4-Gün-Saat-Derslik Atama'!$M$7:$M$456&lt;=8)*('4-Gün-Saat-Derslik Atama'!$N$7:$N$456&gt;=8)*(ROW('4-Gün-Saat-Derslik Atama'!$A$7:$A$456)-7+1))</f>
        <v>0</v>
      </c>
    </row>
    <row r="21" customFormat="false" ht="15" hidden="false" customHeight="false" outlineLevel="0" collapsed="false">
      <c r="A21" s="0" t="s">
        <v>332</v>
      </c>
      <c r="B21" s="0" t="n">
        <f aca="false">SUMPRODUCT(('4-Gün-Saat-Derslik Atama'!$A$7:$A$456="Seçildi")*('4-Gün-Saat-Derslik Atama'!$D$7:$D$456=1)*('4-Gün-Saat-Derslik Atama'!$I$7:$I$456="Pazartesi")*('4-Gün-Saat-Derslik Atama'!$M$7:$M$456&lt;=9)*('4-Gün-Saat-Derslik Atama'!$N$7:$N$456&gt;=9)*(ROW('4-Gün-Saat-Derslik Atama'!$A$7:$A$456)-7+1))</f>
        <v>0</v>
      </c>
      <c r="C21" s="0" t="n">
        <f aca="false">SUMPRODUCT(('4-Gün-Saat-Derslik Atama'!$A$7:$A$456="Seçildi")*('4-Gün-Saat-Derslik Atama'!$D$7:$D$456=1)*('4-Gün-Saat-Derslik Atama'!$I$7:$I$456="Salı")*('4-Gün-Saat-Derslik Atama'!$M$7:$M$456&lt;=9)*('4-Gün-Saat-Derslik Atama'!$N$7:$N$456&gt;=9)*(ROW('4-Gün-Saat-Derslik Atama'!$A$7:$A$456)-7+1))</f>
        <v>0</v>
      </c>
      <c r="D21" s="0" t="n">
        <f aca="false">SUMPRODUCT(('4-Gün-Saat-Derslik Atama'!$A$7:$A$456="Seçildi")*('4-Gün-Saat-Derslik Atama'!$D$7:$D$456=1)*('4-Gün-Saat-Derslik Atama'!$I$7:$I$456="Çarşamba")*('4-Gün-Saat-Derslik Atama'!$M$7:$M$456&lt;=9)*('4-Gün-Saat-Derslik Atama'!$N$7:$N$456&gt;=9)*(ROW('4-Gün-Saat-Derslik Atama'!$A$7:$A$456)-7+1))</f>
        <v>0</v>
      </c>
      <c r="E21" s="0" t="n">
        <f aca="false">SUMPRODUCT(('4-Gün-Saat-Derslik Atama'!$A$7:$A$456="Seçildi")*('4-Gün-Saat-Derslik Atama'!$D$7:$D$456=1)*('4-Gün-Saat-Derslik Atama'!$I$7:$I$456="Perşembe")*('4-Gün-Saat-Derslik Atama'!$M$7:$M$456&lt;=9)*('4-Gün-Saat-Derslik Atama'!$N$7:$N$456&gt;=9)*(ROW('4-Gün-Saat-Derslik Atama'!$A$7:$A$456)-7+1))</f>
        <v>0</v>
      </c>
      <c r="F21" s="0" t="n">
        <f aca="false">SUMPRODUCT(('4-Gün-Saat-Derslik Atama'!$A$7:$A$456="Seçildi")*('4-Gün-Saat-Derslik Atama'!$D$7:$D$456=1)*('4-Gün-Saat-Derslik Atama'!$I$7:$I$456="Cuma")*('4-Gün-Saat-Derslik Atama'!$M$7:$M$456&lt;=9)*('4-Gün-Saat-Derslik Atama'!$N$7:$N$456&gt;=9)*(ROW('4-Gün-Saat-Derslik Atama'!$A$7:$A$456)-7+1))</f>
        <v>0</v>
      </c>
    </row>
    <row r="22" customFormat="false" ht="15" hidden="false" customHeight="false" outlineLevel="0" collapsed="false">
      <c r="A22" s="0" t="s">
        <v>333</v>
      </c>
      <c r="B22" s="0" t="n">
        <f aca="false">SUMPRODUCT(('4-Gün-Saat-Derslik Atama'!$A$7:$A$456="Seçildi")*('4-Gün-Saat-Derslik Atama'!$D$7:$D$456=1)*('4-Gün-Saat-Derslik Atama'!$I$7:$I$456="Pazartesi")*('4-Gün-Saat-Derslik Atama'!$M$7:$M$456&lt;=10)*('4-Gün-Saat-Derslik Atama'!$N$7:$N$456&gt;=10)*(ROW('4-Gün-Saat-Derslik Atama'!$A$7:$A$456)-7+1))</f>
        <v>0</v>
      </c>
      <c r="C22" s="0" t="n">
        <f aca="false">SUMPRODUCT(('4-Gün-Saat-Derslik Atama'!$A$7:$A$456="Seçildi")*('4-Gün-Saat-Derslik Atama'!$D$7:$D$456=1)*('4-Gün-Saat-Derslik Atama'!$I$7:$I$456="Salı")*('4-Gün-Saat-Derslik Atama'!$M$7:$M$456&lt;=10)*('4-Gün-Saat-Derslik Atama'!$N$7:$N$456&gt;=10)*(ROW('4-Gün-Saat-Derslik Atama'!$A$7:$A$456)-7+1))</f>
        <v>0</v>
      </c>
      <c r="D22" s="0" t="n">
        <f aca="false">SUMPRODUCT(('4-Gün-Saat-Derslik Atama'!$A$7:$A$456="Seçildi")*('4-Gün-Saat-Derslik Atama'!$D$7:$D$456=1)*('4-Gün-Saat-Derslik Atama'!$I$7:$I$456="Çarşamba")*('4-Gün-Saat-Derslik Atama'!$M$7:$M$456&lt;=10)*('4-Gün-Saat-Derslik Atama'!$N$7:$N$456&gt;=10)*(ROW('4-Gün-Saat-Derslik Atama'!$A$7:$A$456)-7+1))</f>
        <v>0</v>
      </c>
      <c r="E22" s="0" t="n">
        <f aca="false">SUMPRODUCT(('4-Gün-Saat-Derslik Atama'!$A$7:$A$456="Seçildi")*('4-Gün-Saat-Derslik Atama'!$D$7:$D$456=1)*('4-Gün-Saat-Derslik Atama'!$I$7:$I$456="Perşembe")*('4-Gün-Saat-Derslik Atama'!$M$7:$M$456&lt;=10)*('4-Gün-Saat-Derslik Atama'!$N$7:$N$456&gt;=10)*(ROW('4-Gün-Saat-Derslik Atama'!$A$7:$A$456)-7+1))</f>
        <v>0</v>
      </c>
      <c r="F22" s="0" t="n">
        <f aca="false">SUMPRODUCT(('4-Gün-Saat-Derslik Atama'!$A$7:$A$456="Seçildi")*('4-Gün-Saat-Derslik Atama'!$D$7:$D$456=1)*('4-Gün-Saat-Derslik Atama'!$I$7:$I$456="Cuma")*('4-Gün-Saat-Derslik Atama'!$M$7:$M$456&lt;=10)*('4-Gün-Saat-Derslik Atama'!$N$7:$N$456&gt;=10)*(ROW('4-Gün-Saat-Derslik Atama'!$A$7:$A$456)-7+1))</f>
        <v>0</v>
      </c>
    </row>
    <row r="23" customFormat="false" ht="15" hidden="false" customHeight="false" outlineLevel="0" collapsed="false">
      <c r="A23" s="0" t="s">
        <v>335</v>
      </c>
    </row>
    <row r="24" customFormat="false" ht="15" hidden="false" customHeight="false" outlineLevel="0" collapsed="false">
      <c r="A24" s="0" t="s">
        <v>324</v>
      </c>
      <c r="B24" s="0" t="n">
        <f aca="false">SUMPRODUCT(('4-Gün-Saat-Derslik Atama'!$A$7:$A$456="Seçildi")*('4-Gün-Saat-Derslik Atama'!$D$7:$D$456=2)*('4-Gün-Saat-Derslik Atama'!$I$7:$I$456="Pazartesi")*('4-Gün-Saat-Derslik Atama'!$M$7:$M$456&lt;=1)*('4-Gün-Saat-Derslik Atama'!$N$7:$N$456&gt;=1))</f>
        <v>0</v>
      </c>
      <c r="C24" s="0" t="n">
        <f aca="false">SUMPRODUCT(('4-Gün-Saat-Derslik Atama'!$A$7:$A$456="Seçildi")*('4-Gün-Saat-Derslik Atama'!$D$7:$D$456=2)*('4-Gün-Saat-Derslik Atama'!$I$7:$I$456="Salı")*('4-Gün-Saat-Derslik Atama'!$M$7:$M$456&lt;=1)*('4-Gün-Saat-Derslik Atama'!$N$7:$N$456&gt;=1))</f>
        <v>0</v>
      </c>
      <c r="D24" s="0" t="n">
        <f aca="false">SUMPRODUCT(('4-Gün-Saat-Derslik Atama'!$A$7:$A$456="Seçildi")*('4-Gün-Saat-Derslik Atama'!$D$7:$D$456=2)*('4-Gün-Saat-Derslik Atama'!$I$7:$I$456="Çarşamba")*('4-Gün-Saat-Derslik Atama'!$M$7:$M$456&lt;=1)*('4-Gün-Saat-Derslik Atama'!$N$7:$N$456&gt;=1))</f>
        <v>0</v>
      </c>
      <c r="E24" s="0" t="n">
        <f aca="false">SUMPRODUCT(('4-Gün-Saat-Derslik Atama'!$A$7:$A$456="Seçildi")*('4-Gün-Saat-Derslik Atama'!$D$7:$D$456=2)*('4-Gün-Saat-Derslik Atama'!$I$7:$I$456="Perşembe")*('4-Gün-Saat-Derslik Atama'!$M$7:$M$456&lt;=1)*('4-Gün-Saat-Derslik Atama'!$N$7:$N$456&gt;=1))</f>
        <v>0</v>
      </c>
      <c r="F24" s="0" t="n">
        <f aca="false">SUMPRODUCT(('4-Gün-Saat-Derslik Atama'!$A$7:$A$456="Seçildi")*('4-Gün-Saat-Derslik Atama'!$D$7:$D$456=2)*('4-Gün-Saat-Derslik Atama'!$I$7:$I$456="Cuma")*('4-Gün-Saat-Derslik Atama'!$M$7:$M$456&lt;=1)*('4-Gün-Saat-Derslik Atama'!$N$7:$N$456&gt;=1))</f>
        <v>0</v>
      </c>
    </row>
    <row r="25" customFormat="false" ht="15" hidden="false" customHeight="false" outlineLevel="0" collapsed="false">
      <c r="A25" s="0" t="s">
        <v>325</v>
      </c>
      <c r="B25" s="0" t="n">
        <f aca="false">SUMPRODUCT(('4-Gün-Saat-Derslik Atama'!$A$7:$A$456="Seçildi")*('4-Gün-Saat-Derslik Atama'!$D$7:$D$456=2)*('4-Gün-Saat-Derslik Atama'!$I$7:$I$456="Pazartesi")*('4-Gün-Saat-Derslik Atama'!$M$7:$M$456&lt;=2)*('4-Gün-Saat-Derslik Atama'!$N$7:$N$456&gt;=2))</f>
        <v>0</v>
      </c>
      <c r="C25" s="0" t="n">
        <f aca="false">SUMPRODUCT(('4-Gün-Saat-Derslik Atama'!$A$7:$A$456="Seçildi")*('4-Gün-Saat-Derslik Atama'!$D$7:$D$456=2)*('4-Gün-Saat-Derslik Atama'!$I$7:$I$456="Salı")*('4-Gün-Saat-Derslik Atama'!$M$7:$M$456&lt;=2)*('4-Gün-Saat-Derslik Atama'!$N$7:$N$456&gt;=2))</f>
        <v>0</v>
      </c>
      <c r="D25" s="0" t="n">
        <f aca="false">SUMPRODUCT(('4-Gün-Saat-Derslik Atama'!$A$7:$A$456="Seçildi")*('4-Gün-Saat-Derslik Atama'!$D$7:$D$456=2)*('4-Gün-Saat-Derslik Atama'!$I$7:$I$456="Çarşamba")*('4-Gün-Saat-Derslik Atama'!$M$7:$M$456&lt;=2)*('4-Gün-Saat-Derslik Atama'!$N$7:$N$456&gt;=2))</f>
        <v>0</v>
      </c>
      <c r="E25" s="0" t="n">
        <f aca="false">SUMPRODUCT(('4-Gün-Saat-Derslik Atama'!$A$7:$A$456="Seçildi")*('4-Gün-Saat-Derslik Atama'!$D$7:$D$456=2)*('4-Gün-Saat-Derslik Atama'!$I$7:$I$456="Perşembe")*('4-Gün-Saat-Derslik Atama'!$M$7:$M$456&lt;=2)*('4-Gün-Saat-Derslik Atama'!$N$7:$N$456&gt;=2))</f>
        <v>0</v>
      </c>
      <c r="F25" s="0" t="n">
        <f aca="false">SUMPRODUCT(('4-Gün-Saat-Derslik Atama'!$A$7:$A$456="Seçildi")*('4-Gün-Saat-Derslik Atama'!$D$7:$D$456=2)*('4-Gün-Saat-Derslik Atama'!$I$7:$I$456="Cuma")*('4-Gün-Saat-Derslik Atama'!$M$7:$M$456&lt;=2)*('4-Gün-Saat-Derslik Atama'!$N$7:$N$456&gt;=2))</f>
        <v>0</v>
      </c>
    </row>
    <row r="26" customFormat="false" ht="15" hidden="false" customHeight="false" outlineLevel="0" collapsed="false">
      <c r="A26" s="0" t="s">
        <v>326</v>
      </c>
      <c r="B26" s="0" t="n">
        <f aca="false">SUMPRODUCT(('4-Gün-Saat-Derslik Atama'!$A$7:$A$456="Seçildi")*('4-Gün-Saat-Derslik Atama'!$D$7:$D$456=2)*('4-Gün-Saat-Derslik Atama'!$I$7:$I$456="Pazartesi")*('4-Gün-Saat-Derslik Atama'!$M$7:$M$456&lt;=3)*('4-Gün-Saat-Derslik Atama'!$N$7:$N$456&gt;=3))</f>
        <v>0</v>
      </c>
      <c r="C26" s="0" t="n">
        <f aca="false">SUMPRODUCT(('4-Gün-Saat-Derslik Atama'!$A$7:$A$456="Seçildi")*('4-Gün-Saat-Derslik Atama'!$D$7:$D$456=2)*('4-Gün-Saat-Derslik Atama'!$I$7:$I$456="Salı")*('4-Gün-Saat-Derslik Atama'!$M$7:$M$456&lt;=3)*('4-Gün-Saat-Derslik Atama'!$N$7:$N$456&gt;=3))</f>
        <v>0</v>
      </c>
      <c r="D26" s="0" t="n">
        <f aca="false">SUMPRODUCT(('4-Gün-Saat-Derslik Atama'!$A$7:$A$456="Seçildi")*('4-Gün-Saat-Derslik Atama'!$D$7:$D$456=2)*('4-Gün-Saat-Derslik Atama'!$I$7:$I$456="Çarşamba")*('4-Gün-Saat-Derslik Atama'!$M$7:$M$456&lt;=3)*('4-Gün-Saat-Derslik Atama'!$N$7:$N$456&gt;=3))</f>
        <v>0</v>
      </c>
      <c r="E26" s="0" t="n">
        <f aca="false">SUMPRODUCT(('4-Gün-Saat-Derslik Atama'!$A$7:$A$456="Seçildi")*('4-Gün-Saat-Derslik Atama'!$D$7:$D$456=2)*('4-Gün-Saat-Derslik Atama'!$I$7:$I$456="Perşembe")*('4-Gün-Saat-Derslik Atama'!$M$7:$M$456&lt;=3)*('4-Gün-Saat-Derslik Atama'!$N$7:$N$456&gt;=3))</f>
        <v>0</v>
      </c>
      <c r="F26" s="0" t="n">
        <f aca="false">SUMPRODUCT(('4-Gün-Saat-Derslik Atama'!$A$7:$A$456="Seçildi")*('4-Gün-Saat-Derslik Atama'!$D$7:$D$456=2)*('4-Gün-Saat-Derslik Atama'!$I$7:$I$456="Cuma")*('4-Gün-Saat-Derslik Atama'!$M$7:$M$456&lt;=3)*('4-Gün-Saat-Derslik Atama'!$N$7:$N$456&gt;=3))</f>
        <v>0</v>
      </c>
    </row>
    <row r="27" customFormat="false" ht="15" hidden="false" customHeight="false" outlineLevel="0" collapsed="false">
      <c r="A27" s="0" t="s">
        <v>327</v>
      </c>
      <c r="B27" s="0" t="n">
        <f aca="false">SUMPRODUCT(('4-Gün-Saat-Derslik Atama'!$A$7:$A$456="Seçildi")*('4-Gün-Saat-Derslik Atama'!$D$7:$D$456=2)*('4-Gün-Saat-Derslik Atama'!$I$7:$I$456="Pazartesi")*('4-Gün-Saat-Derslik Atama'!$M$7:$M$456&lt;=4)*('4-Gün-Saat-Derslik Atama'!$N$7:$N$456&gt;=4))</f>
        <v>0</v>
      </c>
      <c r="C27" s="0" t="n">
        <f aca="false">SUMPRODUCT(('4-Gün-Saat-Derslik Atama'!$A$7:$A$456="Seçildi")*('4-Gün-Saat-Derslik Atama'!$D$7:$D$456=2)*('4-Gün-Saat-Derslik Atama'!$I$7:$I$456="Salı")*('4-Gün-Saat-Derslik Atama'!$M$7:$M$456&lt;=4)*('4-Gün-Saat-Derslik Atama'!$N$7:$N$456&gt;=4))</f>
        <v>0</v>
      </c>
      <c r="D27" s="0" t="n">
        <f aca="false">SUMPRODUCT(('4-Gün-Saat-Derslik Atama'!$A$7:$A$456="Seçildi")*('4-Gün-Saat-Derslik Atama'!$D$7:$D$456=2)*('4-Gün-Saat-Derslik Atama'!$I$7:$I$456="Çarşamba")*('4-Gün-Saat-Derslik Atama'!$M$7:$M$456&lt;=4)*('4-Gün-Saat-Derslik Atama'!$N$7:$N$456&gt;=4))</f>
        <v>0</v>
      </c>
      <c r="E27" s="0" t="n">
        <f aca="false">SUMPRODUCT(('4-Gün-Saat-Derslik Atama'!$A$7:$A$456="Seçildi")*('4-Gün-Saat-Derslik Atama'!$D$7:$D$456=2)*('4-Gün-Saat-Derslik Atama'!$I$7:$I$456="Perşembe")*('4-Gün-Saat-Derslik Atama'!$M$7:$M$456&lt;=4)*('4-Gün-Saat-Derslik Atama'!$N$7:$N$456&gt;=4))</f>
        <v>0</v>
      </c>
      <c r="F27" s="0" t="n">
        <f aca="false">SUMPRODUCT(('4-Gün-Saat-Derslik Atama'!$A$7:$A$456="Seçildi")*('4-Gün-Saat-Derslik Atama'!$D$7:$D$456=2)*('4-Gün-Saat-Derslik Atama'!$I$7:$I$456="Cuma")*('4-Gün-Saat-Derslik Atama'!$M$7:$M$456&lt;=4)*('4-Gün-Saat-Derslik Atama'!$N$7:$N$456&gt;=4))</f>
        <v>0</v>
      </c>
    </row>
    <row r="28" customFormat="false" ht="15" hidden="false" customHeight="false" outlineLevel="0" collapsed="false">
      <c r="A28" s="0" t="s">
        <v>328</v>
      </c>
      <c r="B28" s="0" t="n">
        <f aca="false">SUMPRODUCT(('4-Gün-Saat-Derslik Atama'!$A$7:$A$456="Seçildi")*('4-Gün-Saat-Derslik Atama'!$D$7:$D$456=2)*('4-Gün-Saat-Derslik Atama'!$I$7:$I$456="Pazartesi")*('4-Gün-Saat-Derslik Atama'!$M$7:$M$456&lt;=5)*('4-Gün-Saat-Derslik Atama'!$N$7:$N$456&gt;=5))</f>
        <v>0</v>
      </c>
      <c r="C28" s="0" t="n">
        <f aca="false">SUMPRODUCT(('4-Gün-Saat-Derslik Atama'!$A$7:$A$456="Seçildi")*('4-Gün-Saat-Derslik Atama'!$D$7:$D$456=2)*('4-Gün-Saat-Derslik Atama'!$I$7:$I$456="Salı")*('4-Gün-Saat-Derslik Atama'!$M$7:$M$456&lt;=5)*('4-Gün-Saat-Derslik Atama'!$N$7:$N$456&gt;=5))</f>
        <v>0</v>
      </c>
      <c r="D28" s="0" t="n">
        <f aca="false">SUMPRODUCT(('4-Gün-Saat-Derslik Atama'!$A$7:$A$456="Seçildi")*('4-Gün-Saat-Derslik Atama'!$D$7:$D$456=2)*('4-Gün-Saat-Derslik Atama'!$I$7:$I$456="Çarşamba")*('4-Gün-Saat-Derslik Atama'!$M$7:$M$456&lt;=5)*('4-Gün-Saat-Derslik Atama'!$N$7:$N$456&gt;=5))</f>
        <v>0</v>
      </c>
      <c r="E28" s="0" t="n">
        <f aca="false">SUMPRODUCT(('4-Gün-Saat-Derslik Atama'!$A$7:$A$456="Seçildi")*('4-Gün-Saat-Derslik Atama'!$D$7:$D$456=2)*('4-Gün-Saat-Derslik Atama'!$I$7:$I$456="Perşembe")*('4-Gün-Saat-Derslik Atama'!$M$7:$M$456&lt;=5)*('4-Gün-Saat-Derslik Atama'!$N$7:$N$456&gt;=5))</f>
        <v>0</v>
      </c>
      <c r="F28" s="0" t="n">
        <f aca="false">SUMPRODUCT(('4-Gün-Saat-Derslik Atama'!$A$7:$A$456="Seçildi")*('4-Gün-Saat-Derslik Atama'!$D$7:$D$456=2)*('4-Gün-Saat-Derslik Atama'!$I$7:$I$456="Cuma")*('4-Gün-Saat-Derslik Atama'!$M$7:$M$456&lt;=5)*('4-Gün-Saat-Derslik Atama'!$N$7:$N$456&gt;=5))</f>
        <v>0</v>
      </c>
    </row>
    <row r="29" customFormat="false" ht="15" hidden="false" customHeight="false" outlineLevel="0" collapsed="false">
      <c r="A29" s="0" t="s">
        <v>329</v>
      </c>
      <c r="B29" s="0" t="n">
        <f aca="false">SUMPRODUCT(('4-Gün-Saat-Derslik Atama'!$A$7:$A$456="Seçildi")*('4-Gün-Saat-Derslik Atama'!$D$7:$D$456=2)*('4-Gün-Saat-Derslik Atama'!$I$7:$I$456="Pazartesi")*('4-Gün-Saat-Derslik Atama'!$M$7:$M$456&lt;=6)*('4-Gün-Saat-Derslik Atama'!$N$7:$N$456&gt;=6))</f>
        <v>0</v>
      </c>
      <c r="C29" s="0" t="n">
        <f aca="false">SUMPRODUCT(('4-Gün-Saat-Derslik Atama'!$A$7:$A$456="Seçildi")*('4-Gün-Saat-Derslik Atama'!$D$7:$D$456=2)*('4-Gün-Saat-Derslik Atama'!$I$7:$I$456="Salı")*('4-Gün-Saat-Derslik Atama'!$M$7:$M$456&lt;=6)*('4-Gün-Saat-Derslik Atama'!$N$7:$N$456&gt;=6))</f>
        <v>0</v>
      </c>
      <c r="D29" s="0" t="n">
        <f aca="false">SUMPRODUCT(('4-Gün-Saat-Derslik Atama'!$A$7:$A$456="Seçildi")*('4-Gün-Saat-Derslik Atama'!$D$7:$D$456=2)*('4-Gün-Saat-Derslik Atama'!$I$7:$I$456="Çarşamba")*('4-Gün-Saat-Derslik Atama'!$M$7:$M$456&lt;=6)*('4-Gün-Saat-Derslik Atama'!$N$7:$N$456&gt;=6))</f>
        <v>0</v>
      </c>
      <c r="E29" s="0" t="n">
        <f aca="false">SUMPRODUCT(('4-Gün-Saat-Derslik Atama'!$A$7:$A$456="Seçildi")*('4-Gün-Saat-Derslik Atama'!$D$7:$D$456=2)*('4-Gün-Saat-Derslik Atama'!$I$7:$I$456="Perşembe")*('4-Gün-Saat-Derslik Atama'!$M$7:$M$456&lt;=6)*('4-Gün-Saat-Derslik Atama'!$N$7:$N$456&gt;=6))</f>
        <v>0</v>
      </c>
      <c r="F29" s="0" t="n">
        <f aca="false">SUMPRODUCT(('4-Gün-Saat-Derslik Atama'!$A$7:$A$456="Seçildi")*('4-Gün-Saat-Derslik Atama'!$D$7:$D$456=2)*('4-Gün-Saat-Derslik Atama'!$I$7:$I$456="Cuma")*('4-Gün-Saat-Derslik Atama'!$M$7:$M$456&lt;=6)*('4-Gün-Saat-Derslik Atama'!$N$7:$N$456&gt;=6))</f>
        <v>0</v>
      </c>
    </row>
    <row r="30" customFormat="false" ht="15" hidden="false" customHeight="false" outlineLevel="0" collapsed="false">
      <c r="A30" s="0" t="s">
        <v>330</v>
      </c>
      <c r="B30" s="0" t="n">
        <f aca="false">SUMPRODUCT(('4-Gün-Saat-Derslik Atama'!$A$7:$A$456="Seçildi")*('4-Gün-Saat-Derslik Atama'!$D$7:$D$456=2)*('4-Gün-Saat-Derslik Atama'!$I$7:$I$456="Pazartesi")*('4-Gün-Saat-Derslik Atama'!$M$7:$M$456&lt;=7)*('4-Gün-Saat-Derslik Atama'!$N$7:$N$456&gt;=7))</f>
        <v>0</v>
      </c>
      <c r="C30" s="0" t="n">
        <f aca="false">SUMPRODUCT(('4-Gün-Saat-Derslik Atama'!$A$7:$A$456="Seçildi")*('4-Gün-Saat-Derslik Atama'!$D$7:$D$456=2)*('4-Gün-Saat-Derslik Atama'!$I$7:$I$456="Salı")*('4-Gün-Saat-Derslik Atama'!$M$7:$M$456&lt;=7)*('4-Gün-Saat-Derslik Atama'!$N$7:$N$456&gt;=7))</f>
        <v>0</v>
      </c>
      <c r="D30" s="0" t="n">
        <f aca="false">SUMPRODUCT(('4-Gün-Saat-Derslik Atama'!$A$7:$A$456="Seçildi")*('4-Gün-Saat-Derslik Atama'!$D$7:$D$456=2)*('4-Gün-Saat-Derslik Atama'!$I$7:$I$456="Çarşamba")*('4-Gün-Saat-Derslik Atama'!$M$7:$M$456&lt;=7)*('4-Gün-Saat-Derslik Atama'!$N$7:$N$456&gt;=7))</f>
        <v>0</v>
      </c>
      <c r="E30" s="0" t="n">
        <f aca="false">SUMPRODUCT(('4-Gün-Saat-Derslik Atama'!$A$7:$A$456="Seçildi")*('4-Gün-Saat-Derslik Atama'!$D$7:$D$456=2)*('4-Gün-Saat-Derslik Atama'!$I$7:$I$456="Perşembe")*('4-Gün-Saat-Derslik Atama'!$M$7:$M$456&lt;=7)*('4-Gün-Saat-Derslik Atama'!$N$7:$N$456&gt;=7))</f>
        <v>0</v>
      </c>
      <c r="F30" s="0" t="n">
        <f aca="false">SUMPRODUCT(('4-Gün-Saat-Derslik Atama'!$A$7:$A$456="Seçildi")*('4-Gün-Saat-Derslik Atama'!$D$7:$D$456=2)*('4-Gün-Saat-Derslik Atama'!$I$7:$I$456="Cuma")*('4-Gün-Saat-Derslik Atama'!$M$7:$M$456&lt;=7)*('4-Gün-Saat-Derslik Atama'!$N$7:$N$456&gt;=7))</f>
        <v>0</v>
      </c>
    </row>
    <row r="31" customFormat="false" ht="15" hidden="false" customHeight="false" outlineLevel="0" collapsed="false">
      <c r="A31" s="0" t="s">
        <v>331</v>
      </c>
      <c r="B31" s="0" t="n">
        <f aca="false">SUMPRODUCT(('4-Gün-Saat-Derslik Atama'!$A$7:$A$456="Seçildi")*('4-Gün-Saat-Derslik Atama'!$D$7:$D$456=2)*('4-Gün-Saat-Derslik Atama'!$I$7:$I$456="Pazartesi")*('4-Gün-Saat-Derslik Atama'!$M$7:$M$456&lt;=8)*('4-Gün-Saat-Derslik Atama'!$N$7:$N$456&gt;=8))</f>
        <v>0</v>
      </c>
      <c r="C31" s="0" t="n">
        <f aca="false">SUMPRODUCT(('4-Gün-Saat-Derslik Atama'!$A$7:$A$456="Seçildi")*('4-Gün-Saat-Derslik Atama'!$D$7:$D$456=2)*('4-Gün-Saat-Derslik Atama'!$I$7:$I$456="Salı")*('4-Gün-Saat-Derslik Atama'!$M$7:$M$456&lt;=8)*('4-Gün-Saat-Derslik Atama'!$N$7:$N$456&gt;=8))</f>
        <v>0</v>
      </c>
      <c r="D31" s="0" t="n">
        <f aca="false">SUMPRODUCT(('4-Gün-Saat-Derslik Atama'!$A$7:$A$456="Seçildi")*('4-Gün-Saat-Derslik Atama'!$D$7:$D$456=2)*('4-Gün-Saat-Derslik Atama'!$I$7:$I$456="Çarşamba")*('4-Gün-Saat-Derslik Atama'!$M$7:$M$456&lt;=8)*('4-Gün-Saat-Derslik Atama'!$N$7:$N$456&gt;=8))</f>
        <v>0</v>
      </c>
      <c r="E31" s="0" t="n">
        <f aca="false">SUMPRODUCT(('4-Gün-Saat-Derslik Atama'!$A$7:$A$456="Seçildi")*('4-Gün-Saat-Derslik Atama'!$D$7:$D$456=2)*('4-Gün-Saat-Derslik Atama'!$I$7:$I$456="Perşembe")*('4-Gün-Saat-Derslik Atama'!$M$7:$M$456&lt;=8)*('4-Gün-Saat-Derslik Atama'!$N$7:$N$456&gt;=8))</f>
        <v>0</v>
      </c>
      <c r="F31" s="0" t="n">
        <f aca="false">SUMPRODUCT(('4-Gün-Saat-Derslik Atama'!$A$7:$A$456="Seçildi")*('4-Gün-Saat-Derslik Atama'!$D$7:$D$456=2)*('4-Gün-Saat-Derslik Atama'!$I$7:$I$456="Cuma")*('4-Gün-Saat-Derslik Atama'!$M$7:$M$456&lt;=8)*('4-Gün-Saat-Derslik Atama'!$N$7:$N$456&gt;=8))</f>
        <v>0</v>
      </c>
    </row>
    <row r="32" customFormat="false" ht="15" hidden="false" customHeight="false" outlineLevel="0" collapsed="false">
      <c r="A32" s="0" t="s">
        <v>332</v>
      </c>
      <c r="B32" s="0" t="n">
        <f aca="false">SUMPRODUCT(('4-Gün-Saat-Derslik Atama'!$A$7:$A$456="Seçildi")*('4-Gün-Saat-Derslik Atama'!$D$7:$D$456=2)*('4-Gün-Saat-Derslik Atama'!$I$7:$I$456="Pazartesi")*('4-Gün-Saat-Derslik Atama'!$M$7:$M$456&lt;=9)*('4-Gün-Saat-Derslik Atama'!$N$7:$N$456&gt;=9))</f>
        <v>0</v>
      </c>
      <c r="C32" s="0" t="n">
        <f aca="false">SUMPRODUCT(('4-Gün-Saat-Derslik Atama'!$A$7:$A$456="Seçildi")*('4-Gün-Saat-Derslik Atama'!$D$7:$D$456=2)*('4-Gün-Saat-Derslik Atama'!$I$7:$I$456="Salı")*('4-Gün-Saat-Derslik Atama'!$M$7:$M$456&lt;=9)*('4-Gün-Saat-Derslik Atama'!$N$7:$N$456&gt;=9))</f>
        <v>0</v>
      </c>
      <c r="D32" s="0" t="n">
        <f aca="false">SUMPRODUCT(('4-Gün-Saat-Derslik Atama'!$A$7:$A$456="Seçildi")*('4-Gün-Saat-Derslik Atama'!$D$7:$D$456=2)*('4-Gün-Saat-Derslik Atama'!$I$7:$I$456="Çarşamba")*('4-Gün-Saat-Derslik Atama'!$M$7:$M$456&lt;=9)*('4-Gün-Saat-Derslik Atama'!$N$7:$N$456&gt;=9))</f>
        <v>0</v>
      </c>
      <c r="E32" s="0" t="n">
        <f aca="false">SUMPRODUCT(('4-Gün-Saat-Derslik Atama'!$A$7:$A$456="Seçildi")*('4-Gün-Saat-Derslik Atama'!$D$7:$D$456=2)*('4-Gün-Saat-Derslik Atama'!$I$7:$I$456="Perşembe")*('4-Gün-Saat-Derslik Atama'!$M$7:$M$456&lt;=9)*('4-Gün-Saat-Derslik Atama'!$N$7:$N$456&gt;=9))</f>
        <v>0</v>
      </c>
      <c r="F32" s="0" t="n">
        <f aca="false">SUMPRODUCT(('4-Gün-Saat-Derslik Atama'!$A$7:$A$456="Seçildi")*('4-Gün-Saat-Derslik Atama'!$D$7:$D$456=2)*('4-Gün-Saat-Derslik Atama'!$I$7:$I$456="Cuma")*('4-Gün-Saat-Derslik Atama'!$M$7:$M$456&lt;=9)*('4-Gün-Saat-Derslik Atama'!$N$7:$N$456&gt;=9))</f>
        <v>0</v>
      </c>
    </row>
    <row r="33" customFormat="false" ht="15" hidden="false" customHeight="false" outlineLevel="0" collapsed="false">
      <c r="A33" s="0" t="s">
        <v>333</v>
      </c>
      <c r="B33" s="0" t="n">
        <f aca="false">SUMPRODUCT(('4-Gün-Saat-Derslik Atama'!$A$7:$A$456="Seçildi")*('4-Gün-Saat-Derslik Atama'!$D$7:$D$456=2)*('4-Gün-Saat-Derslik Atama'!$I$7:$I$456="Pazartesi")*('4-Gün-Saat-Derslik Atama'!$M$7:$M$456&lt;=10)*('4-Gün-Saat-Derslik Atama'!$N$7:$N$456&gt;=10))</f>
        <v>0</v>
      </c>
      <c r="C33" s="0" t="n">
        <f aca="false">SUMPRODUCT(('4-Gün-Saat-Derslik Atama'!$A$7:$A$456="Seçildi")*('4-Gün-Saat-Derslik Atama'!$D$7:$D$456=2)*('4-Gün-Saat-Derslik Atama'!$I$7:$I$456="Salı")*('4-Gün-Saat-Derslik Atama'!$M$7:$M$456&lt;=10)*('4-Gün-Saat-Derslik Atama'!$N$7:$N$456&gt;=10))</f>
        <v>0</v>
      </c>
      <c r="D33" s="0" t="n">
        <f aca="false">SUMPRODUCT(('4-Gün-Saat-Derslik Atama'!$A$7:$A$456="Seçildi")*('4-Gün-Saat-Derslik Atama'!$D$7:$D$456=2)*('4-Gün-Saat-Derslik Atama'!$I$7:$I$456="Çarşamba")*('4-Gün-Saat-Derslik Atama'!$M$7:$M$456&lt;=10)*('4-Gün-Saat-Derslik Atama'!$N$7:$N$456&gt;=10))</f>
        <v>0</v>
      </c>
      <c r="E33" s="0" t="n">
        <f aca="false">SUMPRODUCT(('4-Gün-Saat-Derslik Atama'!$A$7:$A$456="Seçildi")*('4-Gün-Saat-Derslik Atama'!$D$7:$D$456=2)*('4-Gün-Saat-Derslik Atama'!$I$7:$I$456="Perşembe")*('4-Gün-Saat-Derslik Atama'!$M$7:$M$456&lt;=10)*('4-Gün-Saat-Derslik Atama'!$N$7:$N$456&gt;=10))</f>
        <v>0</v>
      </c>
      <c r="F33" s="0" t="n">
        <f aca="false">SUMPRODUCT(('4-Gün-Saat-Derslik Atama'!$A$7:$A$456="Seçildi")*('4-Gün-Saat-Derslik Atama'!$D$7:$D$456=2)*('4-Gün-Saat-Derslik Atama'!$I$7:$I$456="Cuma")*('4-Gün-Saat-Derslik Atama'!$M$7:$M$456&lt;=10)*('4-Gün-Saat-Derslik Atama'!$N$7:$N$456&gt;=10))</f>
        <v>0</v>
      </c>
    </row>
    <row r="34" customFormat="false" ht="15" hidden="false" customHeight="false" outlineLevel="0" collapsed="false">
      <c r="A34" s="0" t="s">
        <v>336</v>
      </c>
    </row>
    <row r="35" customFormat="false" ht="15" hidden="false" customHeight="false" outlineLevel="0" collapsed="false">
      <c r="A35" s="0" t="s">
        <v>324</v>
      </c>
      <c r="B35" s="0" t="n">
        <f aca="false">SUMPRODUCT(('4-Gün-Saat-Derslik Atama'!$A$7:$A$456="Seçildi")*('4-Gün-Saat-Derslik Atama'!$D$7:$D$456=2)*('4-Gün-Saat-Derslik Atama'!$I$7:$I$456="Pazartesi")*('4-Gün-Saat-Derslik Atama'!$M$7:$M$456&lt;=1)*('4-Gün-Saat-Derslik Atama'!$N$7:$N$456&gt;=1)*(ROW('4-Gün-Saat-Derslik Atama'!$A$7:$A$456)-7+1))</f>
        <v>0</v>
      </c>
      <c r="C35" s="0" t="n">
        <f aca="false">SUMPRODUCT(('4-Gün-Saat-Derslik Atama'!$A$7:$A$456="Seçildi")*('4-Gün-Saat-Derslik Atama'!$D$7:$D$456=2)*('4-Gün-Saat-Derslik Atama'!$I$7:$I$456="Salı")*('4-Gün-Saat-Derslik Atama'!$M$7:$M$456&lt;=1)*('4-Gün-Saat-Derslik Atama'!$N$7:$N$456&gt;=1)*(ROW('4-Gün-Saat-Derslik Atama'!$A$7:$A$456)-7+1))</f>
        <v>0</v>
      </c>
      <c r="D35" s="0" t="n">
        <f aca="false">SUMPRODUCT(('4-Gün-Saat-Derslik Atama'!$A$7:$A$456="Seçildi")*('4-Gün-Saat-Derslik Atama'!$D$7:$D$456=2)*('4-Gün-Saat-Derslik Atama'!$I$7:$I$456="Çarşamba")*('4-Gün-Saat-Derslik Atama'!$M$7:$M$456&lt;=1)*('4-Gün-Saat-Derslik Atama'!$N$7:$N$456&gt;=1)*(ROW('4-Gün-Saat-Derslik Atama'!$A$7:$A$456)-7+1))</f>
        <v>0</v>
      </c>
      <c r="E35" s="0" t="n">
        <f aca="false">SUMPRODUCT(('4-Gün-Saat-Derslik Atama'!$A$7:$A$456="Seçildi")*('4-Gün-Saat-Derslik Atama'!$D$7:$D$456=2)*('4-Gün-Saat-Derslik Atama'!$I$7:$I$456="Perşembe")*('4-Gün-Saat-Derslik Atama'!$M$7:$M$456&lt;=1)*('4-Gün-Saat-Derslik Atama'!$N$7:$N$456&gt;=1)*(ROW('4-Gün-Saat-Derslik Atama'!$A$7:$A$456)-7+1))</f>
        <v>0</v>
      </c>
      <c r="F35" s="0" t="n">
        <f aca="false">SUMPRODUCT(('4-Gün-Saat-Derslik Atama'!$A$7:$A$456="Seçildi")*('4-Gün-Saat-Derslik Atama'!$D$7:$D$456=2)*('4-Gün-Saat-Derslik Atama'!$I$7:$I$456="Cuma")*('4-Gün-Saat-Derslik Atama'!$M$7:$M$456&lt;=1)*('4-Gün-Saat-Derslik Atama'!$N$7:$N$456&gt;=1)*(ROW('4-Gün-Saat-Derslik Atama'!$A$7:$A$456)-7+1))</f>
        <v>0</v>
      </c>
    </row>
    <row r="36" customFormat="false" ht="15" hidden="false" customHeight="false" outlineLevel="0" collapsed="false">
      <c r="A36" s="0" t="s">
        <v>325</v>
      </c>
      <c r="B36" s="0" t="n">
        <f aca="false">SUMPRODUCT(('4-Gün-Saat-Derslik Atama'!$A$7:$A$456="Seçildi")*('4-Gün-Saat-Derslik Atama'!$D$7:$D$456=2)*('4-Gün-Saat-Derslik Atama'!$I$7:$I$456="Pazartesi")*('4-Gün-Saat-Derslik Atama'!$M$7:$M$456&lt;=2)*('4-Gün-Saat-Derslik Atama'!$N$7:$N$456&gt;=2)*(ROW('4-Gün-Saat-Derslik Atama'!$A$7:$A$456)-7+1))</f>
        <v>0</v>
      </c>
      <c r="C36" s="0" t="n">
        <f aca="false">SUMPRODUCT(('4-Gün-Saat-Derslik Atama'!$A$7:$A$456="Seçildi")*('4-Gün-Saat-Derslik Atama'!$D$7:$D$456=2)*('4-Gün-Saat-Derslik Atama'!$I$7:$I$456="Salı")*('4-Gün-Saat-Derslik Atama'!$M$7:$M$456&lt;=2)*('4-Gün-Saat-Derslik Atama'!$N$7:$N$456&gt;=2)*(ROW('4-Gün-Saat-Derslik Atama'!$A$7:$A$456)-7+1))</f>
        <v>0</v>
      </c>
      <c r="D36" s="0" t="n">
        <f aca="false">SUMPRODUCT(('4-Gün-Saat-Derslik Atama'!$A$7:$A$456="Seçildi")*('4-Gün-Saat-Derslik Atama'!$D$7:$D$456=2)*('4-Gün-Saat-Derslik Atama'!$I$7:$I$456="Çarşamba")*('4-Gün-Saat-Derslik Atama'!$M$7:$M$456&lt;=2)*('4-Gün-Saat-Derslik Atama'!$N$7:$N$456&gt;=2)*(ROW('4-Gün-Saat-Derslik Atama'!$A$7:$A$456)-7+1))</f>
        <v>0</v>
      </c>
      <c r="E36" s="0" t="n">
        <f aca="false">SUMPRODUCT(('4-Gün-Saat-Derslik Atama'!$A$7:$A$456="Seçildi")*('4-Gün-Saat-Derslik Atama'!$D$7:$D$456=2)*('4-Gün-Saat-Derslik Atama'!$I$7:$I$456="Perşembe")*('4-Gün-Saat-Derslik Atama'!$M$7:$M$456&lt;=2)*('4-Gün-Saat-Derslik Atama'!$N$7:$N$456&gt;=2)*(ROW('4-Gün-Saat-Derslik Atama'!$A$7:$A$456)-7+1))</f>
        <v>0</v>
      </c>
      <c r="F36" s="0" t="n">
        <f aca="false">SUMPRODUCT(('4-Gün-Saat-Derslik Atama'!$A$7:$A$456="Seçildi")*('4-Gün-Saat-Derslik Atama'!$D$7:$D$456=2)*('4-Gün-Saat-Derslik Atama'!$I$7:$I$456="Cuma")*('4-Gün-Saat-Derslik Atama'!$M$7:$M$456&lt;=2)*('4-Gün-Saat-Derslik Atama'!$N$7:$N$456&gt;=2)*(ROW('4-Gün-Saat-Derslik Atama'!$A$7:$A$456)-7+1))</f>
        <v>0</v>
      </c>
    </row>
    <row r="37" customFormat="false" ht="15" hidden="false" customHeight="false" outlineLevel="0" collapsed="false">
      <c r="A37" s="0" t="s">
        <v>326</v>
      </c>
      <c r="B37" s="0" t="n">
        <f aca="false">SUMPRODUCT(('4-Gün-Saat-Derslik Atama'!$A$7:$A$456="Seçildi")*('4-Gün-Saat-Derslik Atama'!$D$7:$D$456=2)*('4-Gün-Saat-Derslik Atama'!$I$7:$I$456="Pazartesi")*('4-Gün-Saat-Derslik Atama'!$M$7:$M$456&lt;=3)*('4-Gün-Saat-Derslik Atama'!$N$7:$N$456&gt;=3)*(ROW('4-Gün-Saat-Derslik Atama'!$A$7:$A$456)-7+1))</f>
        <v>0</v>
      </c>
      <c r="C37" s="0" t="n">
        <f aca="false">SUMPRODUCT(('4-Gün-Saat-Derslik Atama'!$A$7:$A$456="Seçildi")*('4-Gün-Saat-Derslik Atama'!$D$7:$D$456=2)*('4-Gün-Saat-Derslik Atama'!$I$7:$I$456="Salı")*('4-Gün-Saat-Derslik Atama'!$M$7:$M$456&lt;=3)*('4-Gün-Saat-Derslik Atama'!$N$7:$N$456&gt;=3)*(ROW('4-Gün-Saat-Derslik Atama'!$A$7:$A$456)-7+1))</f>
        <v>0</v>
      </c>
      <c r="D37" s="0" t="n">
        <f aca="false">SUMPRODUCT(('4-Gün-Saat-Derslik Atama'!$A$7:$A$456="Seçildi")*('4-Gün-Saat-Derslik Atama'!$D$7:$D$456=2)*('4-Gün-Saat-Derslik Atama'!$I$7:$I$456="Çarşamba")*('4-Gün-Saat-Derslik Atama'!$M$7:$M$456&lt;=3)*('4-Gün-Saat-Derslik Atama'!$N$7:$N$456&gt;=3)*(ROW('4-Gün-Saat-Derslik Atama'!$A$7:$A$456)-7+1))</f>
        <v>0</v>
      </c>
      <c r="E37" s="0" t="n">
        <f aca="false">SUMPRODUCT(('4-Gün-Saat-Derslik Atama'!$A$7:$A$456="Seçildi")*('4-Gün-Saat-Derslik Atama'!$D$7:$D$456=2)*('4-Gün-Saat-Derslik Atama'!$I$7:$I$456="Perşembe")*('4-Gün-Saat-Derslik Atama'!$M$7:$M$456&lt;=3)*('4-Gün-Saat-Derslik Atama'!$N$7:$N$456&gt;=3)*(ROW('4-Gün-Saat-Derslik Atama'!$A$7:$A$456)-7+1))</f>
        <v>0</v>
      </c>
      <c r="F37" s="0" t="n">
        <f aca="false">SUMPRODUCT(('4-Gün-Saat-Derslik Atama'!$A$7:$A$456="Seçildi")*('4-Gün-Saat-Derslik Atama'!$D$7:$D$456=2)*('4-Gün-Saat-Derslik Atama'!$I$7:$I$456="Cuma")*('4-Gün-Saat-Derslik Atama'!$M$7:$M$456&lt;=3)*('4-Gün-Saat-Derslik Atama'!$N$7:$N$456&gt;=3)*(ROW('4-Gün-Saat-Derslik Atama'!$A$7:$A$456)-7+1))</f>
        <v>0</v>
      </c>
    </row>
    <row r="38" customFormat="false" ht="15" hidden="false" customHeight="false" outlineLevel="0" collapsed="false">
      <c r="A38" s="0" t="s">
        <v>327</v>
      </c>
      <c r="B38" s="0" t="n">
        <f aca="false">SUMPRODUCT(('4-Gün-Saat-Derslik Atama'!$A$7:$A$456="Seçildi")*('4-Gün-Saat-Derslik Atama'!$D$7:$D$456=2)*('4-Gün-Saat-Derslik Atama'!$I$7:$I$456="Pazartesi")*('4-Gün-Saat-Derslik Atama'!$M$7:$M$456&lt;=4)*('4-Gün-Saat-Derslik Atama'!$N$7:$N$456&gt;=4)*(ROW('4-Gün-Saat-Derslik Atama'!$A$7:$A$456)-7+1))</f>
        <v>0</v>
      </c>
      <c r="C38" s="0" t="n">
        <f aca="false">SUMPRODUCT(('4-Gün-Saat-Derslik Atama'!$A$7:$A$456="Seçildi")*('4-Gün-Saat-Derslik Atama'!$D$7:$D$456=2)*('4-Gün-Saat-Derslik Atama'!$I$7:$I$456="Salı")*('4-Gün-Saat-Derslik Atama'!$M$7:$M$456&lt;=4)*('4-Gün-Saat-Derslik Atama'!$N$7:$N$456&gt;=4)*(ROW('4-Gün-Saat-Derslik Atama'!$A$7:$A$456)-7+1))</f>
        <v>0</v>
      </c>
      <c r="D38" s="0" t="n">
        <f aca="false">SUMPRODUCT(('4-Gün-Saat-Derslik Atama'!$A$7:$A$456="Seçildi")*('4-Gün-Saat-Derslik Atama'!$D$7:$D$456=2)*('4-Gün-Saat-Derslik Atama'!$I$7:$I$456="Çarşamba")*('4-Gün-Saat-Derslik Atama'!$M$7:$M$456&lt;=4)*('4-Gün-Saat-Derslik Atama'!$N$7:$N$456&gt;=4)*(ROW('4-Gün-Saat-Derslik Atama'!$A$7:$A$456)-7+1))</f>
        <v>0</v>
      </c>
      <c r="E38" s="0" t="n">
        <f aca="false">SUMPRODUCT(('4-Gün-Saat-Derslik Atama'!$A$7:$A$456="Seçildi")*('4-Gün-Saat-Derslik Atama'!$D$7:$D$456=2)*('4-Gün-Saat-Derslik Atama'!$I$7:$I$456="Perşembe")*('4-Gün-Saat-Derslik Atama'!$M$7:$M$456&lt;=4)*('4-Gün-Saat-Derslik Atama'!$N$7:$N$456&gt;=4)*(ROW('4-Gün-Saat-Derslik Atama'!$A$7:$A$456)-7+1))</f>
        <v>0</v>
      </c>
      <c r="F38" s="0" t="n">
        <f aca="false">SUMPRODUCT(('4-Gün-Saat-Derslik Atama'!$A$7:$A$456="Seçildi")*('4-Gün-Saat-Derslik Atama'!$D$7:$D$456=2)*('4-Gün-Saat-Derslik Atama'!$I$7:$I$456="Cuma")*('4-Gün-Saat-Derslik Atama'!$M$7:$M$456&lt;=4)*('4-Gün-Saat-Derslik Atama'!$N$7:$N$456&gt;=4)*(ROW('4-Gün-Saat-Derslik Atama'!$A$7:$A$456)-7+1))</f>
        <v>0</v>
      </c>
    </row>
    <row r="39" customFormat="false" ht="15" hidden="false" customHeight="false" outlineLevel="0" collapsed="false">
      <c r="A39" s="0" t="s">
        <v>328</v>
      </c>
      <c r="B39" s="0" t="n">
        <f aca="false">SUMPRODUCT(('4-Gün-Saat-Derslik Atama'!$A$7:$A$456="Seçildi")*('4-Gün-Saat-Derslik Atama'!$D$7:$D$456=2)*('4-Gün-Saat-Derslik Atama'!$I$7:$I$456="Pazartesi")*('4-Gün-Saat-Derslik Atama'!$M$7:$M$456&lt;=5)*('4-Gün-Saat-Derslik Atama'!$N$7:$N$456&gt;=5)*(ROW('4-Gün-Saat-Derslik Atama'!$A$7:$A$456)-7+1))</f>
        <v>0</v>
      </c>
      <c r="C39" s="0" t="n">
        <f aca="false">SUMPRODUCT(('4-Gün-Saat-Derslik Atama'!$A$7:$A$456="Seçildi")*('4-Gün-Saat-Derslik Atama'!$D$7:$D$456=2)*('4-Gün-Saat-Derslik Atama'!$I$7:$I$456="Salı")*('4-Gün-Saat-Derslik Atama'!$M$7:$M$456&lt;=5)*('4-Gün-Saat-Derslik Atama'!$N$7:$N$456&gt;=5)*(ROW('4-Gün-Saat-Derslik Atama'!$A$7:$A$456)-7+1))</f>
        <v>0</v>
      </c>
      <c r="D39" s="0" t="n">
        <f aca="false">SUMPRODUCT(('4-Gün-Saat-Derslik Atama'!$A$7:$A$456="Seçildi")*('4-Gün-Saat-Derslik Atama'!$D$7:$D$456=2)*('4-Gün-Saat-Derslik Atama'!$I$7:$I$456="Çarşamba")*('4-Gün-Saat-Derslik Atama'!$M$7:$M$456&lt;=5)*('4-Gün-Saat-Derslik Atama'!$N$7:$N$456&gt;=5)*(ROW('4-Gün-Saat-Derslik Atama'!$A$7:$A$456)-7+1))</f>
        <v>0</v>
      </c>
      <c r="E39" s="0" t="n">
        <f aca="false">SUMPRODUCT(('4-Gün-Saat-Derslik Atama'!$A$7:$A$456="Seçildi")*('4-Gün-Saat-Derslik Atama'!$D$7:$D$456=2)*('4-Gün-Saat-Derslik Atama'!$I$7:$I$456="Perşembe")*('4-Gün-Saat-Derslik Atama'!$M$7:$M$456&lt;=5)*('4-Gün-Saat-Derslik Atama'!$N$7:$N$456&gt;=5)*(ROW('4-Gün-Saat-Derslik Atama'!$A$7:$A$456)-7+1))</f>
        <v>0</v>
      </c>
      <c r="F39" s="0" t="n">
        <f aca="false">SUMPRODUCT(('4-Gün-Saat-Derslik Atama'!$A$7:$A$456="Seçildi")*('4-Gün-Saat-Derslik Atama'!$D$7:$D$456=2)*('4-Gün-Saat-Derslik Atama'!$I$7:$I$456="Cuma")*('4-Gün-Saat-Derslik Atama'!$M$7:$M$456&lt;=5)*('4-Gün-Saat-Derslik Atama'!$N$7:$N$456&gt;=5)*(ROW('4-Gün-Saat-Derslik Atama'!$A$7:$A$456)-7+1))</f>
        <v>0</v>
      </c>
    </row>
    <row r="40" customFormat="false" ht="15" hidden="false" customHeight="false" outlineLevel="0" collapsed="false">
      <c r="A40" s="0" t="s">
        <v>329</v>
      </c>
      <c r="B40" s="0" t="n">
        <f aca="false">SUMPRODUCT(('4-Gün-Saat-Derslik Atama'!$A$7:$A$456="Seçildi")*('4-Gün-Saat-Derslik Atama'!$D$7:$D$456=2)*('4-Gün-Saat-Derslik Atama'!$I$7:$I$456="Pazartesi")*('4-Gün-Saat-Derslik Atama'!$M$7:$M$456&lt;=6)*('4-Gün-Saat-Derslik Atama'!$N$7:$N$456&gt;=6)*(ROW('4-Gün-Saat-Derslik Atama'!$A$7:$A$456)-7+1))</f>
        <v>0</v>
      </c>
      <c r="C40" s="0" t="n">
        <f aca="false">SUMPRODUCT(('4-Gün-Saat-Derslik Atama'!$A$7:$A$456="Seçildi")*('4-Gün-Saat-Derslik Atama'!$D$7:$D$456=2)*('4-Gün-Saat-Derslik Atama'!$I$7:$I$456="Salı")*('4-Gün-Saat-Derslik Atama'!$M$7:$M$456&lt;=6)*('4-Gün-Saat-Derslik Atama'!$N$7:$N$456&gt;=6)*(ROW('4-Gün-Saat-Derslik Atama'!$A$7:$A$456)-7+1))</f>
        <v>0</v>
      </c>
      <c r="D40" s="0" t="n">
        <f aca="false">SUMPRODUCT(('4-Gün-Saat-Derslik Atama'!$A$7:$A$456="Seçildi")*('4-Gün-Saat-Derslik Atama'!$D$7:$D$456=2)*('4-Gün-Saat-Derslik Atama'!$I$7:$I$456="Çarşamba")*('4-Gün-Saat-Derslik Atama'!$M$7:$M$456&lt;=6)*('4-Gün-Saat-Derslik Atama'!$N$7:$N$456&gt;=6)*(ROW('4-Gün-Saat-Derslik Atama'!$A$7:$A$456)-7+1))</f>
        <v>0</v>
      </c>
      <c r="E40" s="0" t="n">
        <f aca="false">SUMPRODUCT(('4-Gün-Saat-Derslik Atama'!$A$7:$A$456="Seçildi")*('4-Gün-Saat-Derslik Atama'!$D$7:$D$456=2)*('4-Gün-Saat-Derslik Atama'!$I$7:$I$456="Perşembe")*('4-Gün-Saat-Derslik Atama'!$M$7:$M$456&lt;=6)*('4-Gün-Saat-Derslik Atama'!$N$7:$N$456&gt;=6)*(ROW('4-Gün-Saat-Derslik Atama'!$A$7:$A$456)-7+1))</f>
        <v>0</v>
      </c>
      <c r="F40" s="0" t="n">
        <f aca="false">SUMPRODUCT(('4-Gün-Saat-Derslik Atama'!$A$7:$A$456="Seçildi")*('4-Gün-Saat-Derslik Atama'!$D$7:$D$456=2)*('4-Gün-Saat-Derslik Atama'!$I$7:$I$456="Cuma")*('4-Gün-Saat-Derslik Atama'!$M$7:$M$456&lt;=6)*('4-Gün-Saat-Derslik Atama'!$N$7:$N$456&gt;=6)*(ROW('4-Gün-Saat-Derslik Atama'!$A$7:$A$456)-7+1))</f>
        <v>0</v>
      </c>
    </row>
    <row r="41" customFormat="false" ht="15" hidden="false" customHeight="false" outlineLevel="0" collapsed="false">
      <c r="A41" s="0" t="s">
        <v>330</v>
      </c>
      <c r="B41" s="0" t="n">
        <f aca="false">SUMPRODUCT(('4-Gün-Saat-Derslik Atama'!$A$7:$A$456="Seçildi")*('4-Gün-Saat-Derslik Atama'!$D$7:$D$456=2)*('4-Gün-Saat-Derslik Atama'!$I$7:$I$456="Pazartesi")*('4-Gün-Saat-Derslik Atama'!$M$7:$M$456&lt;=7)*('4-Gün-Saat-Derslik Atama'!$N$7:$N$456&gt;=7)*(ROW('4-Gün-Saat-Derslik Atama'!$A$7:$A$456)-7+1))</f>
        <v>0</v>
      </c>
      <c r="C41" s="0" t="n">
        <f aca="false">SUMPRODUCT(('4-Gün-Saat-Derslik Atama'!$A$7:$A$456="Seçildi")*('4-Gün-Saat-Derslik Atama'!$D$7:$D$456=2)*('4-Gün-Saat-Derslik Atama'!$I$7:$I$456="Salı")*('4-Gün-Saat-Derslik Atama'!$M$7:$M$456&lt;=7)*('4-Gün-Saat-Derslik Atama'!$N$7:$N$456&gt;=7)*(ROW('4-Gün-Saat-Derslik Atama'!$A$7:$A$456)-7+1))</f>
        <v>0</v>
      </c>
      <c r="D41" s="0" t="n">
        <f aca="false">SUMPRODUCT(('4-Gün-Saat-Derslik Atama'!$A$7:$A$456="Seçildi")*('4-Gün-Saat-Derslik Atama'!$D$7:$D$456=2)*('4-Gün-Saat-Derslik Atama'!$I$7:$I$456="Çarşamba")*('4-Gün-Saat-Derslik Atama'!$M$7:$M$456&lt;=7)*('4-Gün-Saat-Derslik Atama'!$N$7:$N$456&gt;=7)*(ROW('4-Gün-Saat-Derslik Atama'!$A$7:$A$456)-7+1))</f>
        <v>0</v>
      </c>
      <c r="E41" s="0" t="n">
        <f aca="false">SUMPRODUCT(('4-Gün-Saat-Derslik Atama'!$A$7:$A$456="Seçildi")*('4-Gün-Saat-Derslik Atama'!$D$7:$D$456=2)*('4-Gün-Saat-Derslik Atama'!$I$7:$I$456="Perşembe")*('4-Gün-Saat-Derslik Atama'!$M$7:$M$456&lt;=7)*('4-Gün-Saat-Derslik Atama'!$N$7:$N$456&gt;=7)*(ROW('4-Gün-Saat-Derslik Atama'!$A$7:$A$456)-7+1))</f>
        <v>0</v>
      </c>
      <c r="F41" s="0" t="n">
        <f aca="false">SUMPRODUCT(('4-Gün-Saat-Derslik Atama'!$A$7:$A$456="Seçildi")*('4-Gün-Saat-Derslik Atama'!$D$7:$D$456=2)*('4-Gün-Saat-Derslik Atama'!$I$7:$I$456="Cuma")*('4-Gün-Saat-Derslik Atama'!$M$7:$M$456&lt;=7)*('4-Gün-Saat-Derslik Atama'!$N$7:$N$456&gt;=7)*(ROW('4-Gün-Saat-Derslik Atama'!$A$7:$A$456)-7+1))</f>
        <v>0</v>
      </c>
    </row>
    <row r="42" customFormat="false" ht="15" hidden="false" customHeight="false" outlineLevel="0" collapsed="false">
      <c r="A42" s="0" t="s">
        <v>331</v>
      </c>
      <c r="B42" s="0" t="n">
        <f aca="false">SUMPRODUCT(('4-Gün-Saat-Derslik Atama'!$A$7:$A$456="Seçildi")*('4-Gün-Saat-Derslik Atama'!$D$7:$D$456=2)*('4-Gün-Saat-Derslik Atama'!$I$7:$I$456="Pazartesi")*('4-Gün-Saat-Derslik Atama'!$M$7:$M$456&lt;=8)*('4-Gün-Saat-Derslik Atama'!$N$7:$N$456&gt;=8)*(ROW('4-Gün-Saat-Derslik Atama'!$A$7:$A$456)-7+1))</f>
        <v>0</v>
      </c>
      <c r="C42" s="0" t="n">
        <f aca="false">SUMPRODUCT(('4-Gün-Saat-Derslik Atama'!$A$7:$A$456="Seçildi")*('4-Gün-Saat-Derslik Atama'!$D$7:$D$456=2)*('4-Gün-Saat-Derslik Atama'!$I$7:$I$456="Salı")*('4-Gün-Saat-Derslik Atama'!$M$7:$M$456&lt;=8)*('4-Gün-Saat-Derslik Atama'!$N$7:$N$456&gt;=8)*(ROW('4-Gün-Saat-Derslik Atama'!$A$7:$A$456)-7+1))</f>
        <v>0</v>
      </c>
      <c r="D42" s="0" t="n">
        <f aca="false">SUMPRODUCT(('4-Gün-Saat-Derslik Atama'!$A$7:$A$456="Seçildi")*('4-Gün-Saat-Derslik Atama'!$D$7:$D$456=2)*('4-Gün-Saat-Derslik Atama'!$I$7:$I$456="Çarşamba")*('4-Gün-Saat-Derslik Atama'!$M$7:$M$456&lt;=8)*('4-Gün-Saat-Derslik Atama'!$N$7:$N$456&gt;=8)*(ROW('4-Gün-Saat-Derslik Atama'!$A$7:$A$456)-7+1))</f>
        <v>0</v>
      </c>
      <c r="E42" s="0" t="n">
        <f aca="false">SUMPRODUCT(('4-Gün-Saat-Derslik Atama'!$A$7:$A$456="Seçildi")*('4-Gün-Saat-Derslik Atama'!$D$7:$D$456=2)*('4-Gün-Saat-Derslik Atama'!$I$7:$I$456="Perşembe")*('4-Gün-Saat-Derslik Atama'!$M$7:$M$456&lt;=8)*('4-Gün-Saat-Derslik Atama'!$N$7:$N$456&gt;=8)*(ROW('4-Gün-Saat-Derslik Atama'!$A$7:$A$456)-7+1))</f>
        <v>0</v>
      </c>
      <c r="F42" s="0" t="n">
        <f aca="false">SUMPRODUCT(('4-Gün-Saat-Derslik Atama'!$A$7:$A$456="Seçildi")*('4-Gün-Saat-Derslik Atama'!$D$7:$D$456=2)*('4-Gün-Saat-Derslik Atama'!$I$7:$I$456="Cuma")*('4-Gün-Saat-Derslik Atama'!$M$7:$M$456&lt;=8)*('4-Gün-Saat-Derslik Atama'!$N$7:$N$456&gt;=8)*(ROW('4-Gün-Saat-Derslik Atama'!$A$7:$A$456)-7+1))</f>
        <v>0</v>
      </c>
    </row>
    <row r="43" customFormat="false" ht="15" hidden="false" customHeight="false" outlineLevel="0" collapsed="false">
      <c r="A43" s="0" t="s">
        <v>332</v>
      </c>
      <c r="B43" s="0" t="n">
        <f aca="false">SUMPRODUCT(('4-Gün-Saat-Derslik Atama'!$A$7:$A$456="Seçildi")*('4-Gün-Saat-Derslik Atama'!$D$7:$D$456=2)*('4-Gün-Saat-Derslik Atama'!$I$7:$I$456="Pazartesi")*('4-Gün-Saat-Derslik Atama'!$M$7:$M$456&lt;=9)*('4-Gün-Saat-Derslik Atama'!$N$7:$N$456&gt;=9)*(ROW('4-Gün-Saat-Derslik Atama'!$A$7:$A$456)-7+1))</f>
        <v>0</v>
      </c>
      <c r="C43" s="0" t="n">
        <f aca="false">SUMPRODUCT(('4-Gün-Saat-Derslik Atama'!$A$7:$A$456="Seçildi")*('4-Gün-Saat-Derslik Atama'!$D$7:$D$456=2)*('4-Gün-Saat-Derslik Atama'!$I$7:$I$456="Salı")*('4-Gün-Saat-Derslik Atama'!$M$7:$M$456&lt;=9)*('4-Gün-Saat-Derslik Atama'!$N$7:$N$456&gt;=9)*(ROW('4-Gün-Saat-Derslik Atama'!$A$7:$A$456)-7+1))</f>
        <v>0</v>
      </c>
      <c r="D43" s="0" t="n">
        <f aca="false">SUMPRODUCT(('4-Gün-Saat-Derslik Atama'!$A$7:$A$456="Seçildi")*('4-Gün-Saat-Derslik Atama'!$D$7:$D$456=2)*('4-Gün-Saat-Derslik Atama'!$I$7:$I$456="Çarşamba")*('4-Gün-Saat-Derslik Atama'!$M$7:$M$456&lt;=9)*('4-Gün-Saat-Derslik Atama'!$N$7:$N$456&gt;=9)*(ROW('4-Gün-Saat-Derslik Atama'!$A$7:$A$456)-7+1))</f>
        <v>0</v>
      </c>
      <c r="E43" s="0" t="n">
        <f aca="false">SUMPRODUCT(('4-Gün-Saat-Derslik Atama'!$A$7:$A$456="Seçildi")*('4-Gün-Saat-Derslik Atama'!$D$7:$D$456=2)*('4-Gün-Saat-Derslik Atama'!$I$7:$I$456="Perşembe")*('4-Gün-Saat-Derslik Atama'!$M$7:$M$456&lt;=9)*('4-Gün-Saat-Derslik Atama'!$N$7:$N$456&gt;=9)*(ROW('4-Gün-Saat-Derslik Atama'!$A$7:$A$456)-7+1))</f>
        <v>0</v>
      </c>
      <c r="F43" s="0" t="n">
        <f aca="false">SUMPRODUCT(('4-Gün-Saat-Derslik Atama'!$A$7:$A$456="Seçildi")*('4-Gün-Saat-Derslik Atama'!$D$7:$D$456=2)*('4-Gün-Saat-Derslik Atama'!$I$7:$I$456="Cuma")*('4-Gün-Saat-Derslik Atama'!$M$7:$M$456&lt;=9)*('4-Gün-Saat-Derslik Atama'!$N$7:$N$456&gt;=9)*(ROW('4-Gün-Saat-Derslik Atama'!$A$7:$A$456)-7+1))</f>
        <v>0</v>
      </c>
    </row>
    <row r="44" customFormat="false" ht="15" hidden="false" customHeight="false" outlineLevel="0" collapsed="false">
      <c r="A44" s="0" t="s">
        <v>333</v>
      </c>
      <c r="B44" s="0" t="n">
        <f aca="false">SUMPRODUCT(('4-Gün-Saat-Derslik Atama'!$A$7:$A$456="Seçildi")*('4-Gün-Saat-Derslik Atama'!$D$7:$D$456=2)*('4-Gün-Saat-Derslik Atama'!$I$7:$I$456="Pazartesi")*('4-Gün-Saat-Derslik Atama'!$M$7:$M$456&lt;=10)*('4-Gün-Saat-Derslik Atama'!$N$7:$N$456&gt;=10)*(ROW('4-Gün-Saat-Derslik Atama'!$A$7:$A$456)-7+1))</f>
        <v>0</v>
      </c>
      <c r="C44" s="0" t="n">
        <f aca="false">SUMPRODUCT(('4-Gün-Saat-Derslik Atama'!$A$7:$A$456="Seçildi")*('4-Gün-Saat-Derslik Atama'!$D$7:$D$456=2)*('4-Gün-Saat-Derslik Atama'!$I$7:$I$456="Salı")*('4-Gün-Saat-Derslik Atama'!$M$7:$M$456&lt;=10)*('4-Gün-Saat-Derslik Atama'!$N$7:$N$456&gt;=10)*(ROW('4-Gün-Saat-Derslik Atama'!$A$7:$A$456)-7+1))</f>
        <v>0</v>
      </c>
      <c r="D44" s="0" t="n">
        <f aca="false">SUMPRODUCT(('4-Gün-Saat-Derslik Atama'!$A$7:$A$456="Seçildi")*('4-Gün-Saat-Derslik Atama'!$D$7:$D$456=2)*('4-Gün-Saat-Derslik Atama'!$I$7:$I$456="Çarşamba")*('4-Gün-Saat-Derslik Atama'!$M$7:$M$456&lt;=10)*('4-Gün-Saat-Derslik Atama'!$N$7:$N$456&gt;=10)*(ROW('4-Gün-Saat-Derslik Atama'!$A$7:$A$456)-7+1))</f>
        <v>0</v>
      </c>
      <c r="E44" s="0" t="n">
        <f aca="false">SUMPRODUCT(('4-Gün-Saat-Derslik Atama'!$A$7:$A$456="Seçildi")*('4-Gün-Saat-Derslik Atama'!$D$7:$D$456=2)*('4-Gün-Saat-Derslik Atama'!$I$7:$I$456="Perşembe")*('4-Gün-Saat-Derslik Atama'!$M$7:$M$456&lt;=10)*('4-Gün-Saat-Derslik Atama'!$N$7:$N$456&gt;=10)*(ROW('4-Gün-Saat-Derslik Atama'!$A$7:$A$456)-7+1))</f>
        <v>0</v>
      </c>
      <c r="F44" s="0" t="n">
        <f aca="false">SUMPRODUCT(('4-Gün-Saat-Derslik Atama'!$A$7:$A$456="Seçildi")*('4-Gün-Saat-Derslik Atama'!$D$7:$D$456=2)*('4-Gün-Saat-Derslik Atama'!$I$7:$I$456="Cuma")*('4-Gün-Saat-Derslik Atama'!$M$7:$M$456&lt;=10)*('4-Gün-Saat-Derslik Atama'!$N$7:$N$456&gt;=10)*(ROW('4-Gün-Saat-Derslik Atama'!$A$7:$A$456)-7+1))</f>
        <v>0</v>
      </c>
    </row>
    <row r="45" customFormat="false" ht="15" hidden="false" customHeight="false" outlineLevel="0" collapsed="false">
      <c r="A45" s="0" t="s">
        <v>337</v>
      </c>
    </row>
    <row r="46" customFormat="false" ht="15" hidden="false" customHeight="false" outlineLevel="0" collapsed="false">
      <c r="A46" s="0" t="s">
        <v>324</v>
      </c>
      <c r="B46" s="0" t="n">
        <f aca="false">SUMPRODUCT(('4-Gün-Saat-Derslik Atama'!$A$7:$A$456="Seçildi")*('4-Gün-Saat-Derslik Atama'!$D$7:$D$456=3)*('4-Gün-Saat-Derslik Atama'!$I$7:$I$456="Pazartesi")*('4-Gün-Saat-Derslik Atama'!$M$7:$M$456&lt;=1)*('4-Gün-Saat-Derslik Atama'!$N$7:$N$456&gt;=1))</f>
        <v>0</v>
      </c>
      <c r="C46" s="0" t="n">
        <f aca="false">SUMPRODUCT(('4-Gün-Saat-Derslik Atama'!$A$7:$A$456="Seçildi")*('4-Gün-Saat-Derslik Atama'!$D$7:$D$456=3)*('4-Gün-Saat-Derslik Atama'!$I$7:$I$456="Salı")*('4-Gün-Saat-Derslik Atama'!$M$7:$M$456&lt;=1)*('4-Gün-Saat-Derslik Atama'!$N$7:$N$456&gt;=1))</f>
        <v>0</v>
      </c>
      <c r="D46" s="0" t="n">
        <f aca="false">SUMPRODUCT(('4-Gün-Saat-Derslik Atama'!$A$7:$A$456="Seçildi")*('4-Gün-Saat-Derslik Atama'!$D$7:$D$456=3)*('4-Gün-Saat-Derslik Atama'!$I$7:$I$456="Çarşamba")*('4-Gün-Saat-Derslik Atama'!$M$7:$M$456&lt;=1)*('4-Gün-Saat-Derslik Atama'!$N$7:$N$456&gt;=1))</f>
        <v>0</v>
      </c>
      <c r="E46" s="0" t="n">
        <f aca="false">SUMPRODUCT(('4-Gün-Saat-Derslik Atama'!$A$7:$A$456="Seçildi")*('4-Gün-Saat-Derslik Atama'!$D$7:$D$456=3)*('4-Gün-Saat-Derslik Atama'!$I$7:$I$456="Perşembe")*('4-Gün-Saat-Derslik Atama'!$M$7:$M$456&lt;=1)*('4-Gün-Saat-Derslik Atama'!$N$7:$N$456&gt;=1))</f>
        <v>0</v>
      </c>
      <c r="F46" s="0" t="n">
        <f aca="false">SUMPRODUCT(('4-Gün-Saat-Derslik Atama'!$A$7:$A$456="Seçildi")*('4-Gün-Saat-Derslik Atama'!$D$7:$D$456=3)*('4-Gün-Saat-Derslik Atama'!$I$7:$I$456="Cuma")*('4-Gün-Saat-Derslik Atama'!$M$7:$M$456&lt;=1)*('4-Gün-Saat-Derslik Atama'!$N$7:$N$456&gt;=1))</f>
        <v>0</v>
      </c>
    </row>
    <row r="47" customFormat="false" ht="15" hidden="false" customHeight="false" outlineLevel="0" collapsed="false">
      <c r="A47" s="0" t="s">
        <v>325</v>
      </c>
      <c r="B47" s="0" t="n">
        <f aca="false">SUMPRODUCT(('4-Gün-Saat-Derslik Atama'!$A$7:$A$456="Seçildi")*('4-Gün-Saat-Derslik Atama'!$D$7:$D$456=3)*('4-Gün-Saat-Derslik Atama'!$I$7:$I$456="Pazartesi")*('4-Gün-Saat-Derslik Atama'!$M$7:$M$456&lt;=2)*('4-Gün-Saat-Derslik Atama'!$N$7:$N$456&gt;=2))</f>
        <v>0</v>
      </c>
      <c r="C47" s="0" t="n">
        <f aca="false">SUMPRODUCT(('4-Gün-Saat-Derslik Atama'!$A$7:$A$456="Seçildi")*('4-Gün-Saat-Derslik Atama'!$D$7:$D$456=3)*('4-Gün-Saat-Derslik Atama'!$I$7:$I$456="Salı")*('4-Gün-Saat-Derslik Atama'!$M$7:$M$456&lt;=2)*('4-Gün-Saat-Derslik Atama'!$N$7:$N$456&gt;=2))</f>
        <v>0</v>
      </c>
      <c r="D47" s="0" t="n">
        <f aca="false">SUMPRODUCT(('4-Gün-Saat-Derslik Atama'!$A$7:$A$456="Seçildi")*('4-Gün-Saat-Derslik Atama'!$D$7:$D$456=3)*('4-Gün-Saat-Derslik Atama'!$I$7:$I$456="Çarşamba")*('4-Gün-Saat-Derslik Atama'!$M$7:$M$456&lt;=2)*('4-Gün-Saat-Derslik Atama'!$N$7:$N$456&gt;=2))</f>
        <v>0</v>
      </c>
      <c r="E47" s="0" t="n">
        <f aca="false">SUMPRODUCT(('4-Gün-Saat-Derslik Atama'!$A$7:$A$456="Seçildi")*('4-Gün-Saat-Derslik Atama'!$D$7:$D$456=3)*('4-Gün-Saat-Derslik Atama'!$I$7:$I$456="Perşembe")*('4-Gün-Saat-Derslik Atama'!$M$7:$M$456&lt;=2)*('4-Gün-Saat-Derslik Atama'!$N$7:$N$456&gt;=2))</f>
        <v>0</v>
      </c>
      <c r="F47" s="0" t="n">
        <f aca="false">SUMPRODUCT(('4-Gün-Saat-Derslik Atama'!$A$7:$A$456="Seçildi")*('4-Gün-Saat-Derslik Atama'!$D$7:$D$456=3)*('4-Gün-Saat-Derslik Atama'!$I$7:$I$456="Cuma")*('4-Gün-Saat-Derslik Atama'!$M$7:$M$456&lt;=2)*('4-Gün-Saat-Derslik Atama'!$N$7:$N$456&gt;=2))</f>
        <v>0</v>
      </c>
    </row>
    <row r="48" customFormat="false" ht="15" hidden="false" customHeight="false" outlineLevel="0" collapsed="false">
      <c r="A48" s="0" t="s">
        <v>326</v>
      </c>
      <c r="B48" s="0" t="n">
        <f aca="false">SUMPRODUCT(('4-Gün-Saat-Derslik Atama'!$A$7:$A$456="Seçildi")*('4-Gün-Saat-Derslik Atama'!$D$7:$D$456=3)*('4-Gün-Saat-Derslik Atama'!$I$7:$I$456="Pazartesi")*('4-Gün-Saat-Derslik Atama'!$M$7:$M$456&lt;=3)*('4-Gün-Saat-Derslik Atama'!$N$7:$N$456&gt;=3))</f>
        <v>0</v>
      </c>
      <c r="C48" s="0" t="n">
        <f aca="false">SUMPRODUCT(('4-Gün-Saat-Derslik Atama'!$A$7:$A$456="Seçildi")*('4-Gün-Saat-Derslik Atama'!$D$7:$D$456=3)*('4-Gün-Saat-Derslik Atama'!$I$7:$I$456="Salı")*('4-Gün-Saat-Derslik Atama'!$M$7:$M$456&lt;=3)*('4-Gün-Saat-Derslik Atama'!$N$7:$N$456&gt;=3))</f>
        <v>0</v>
      </c>
      <c r="D48" s="0" t="n">
        <f aca="false">SUMPRODUCT(('4-Gün-Saat-Derslik Atama'!$A$7:$A$456="Seçildi")*('4-Gün-Saat-Derslik Atama'!$D$7:$D$456=3)*('4-Gün-Saat-Derslik Atama'!$I$7:$I$456="Çarşamba")*('4-Gün-Saat-Derslik Atama'!$M$7:$M$456&lt;=3)*('4-Gün-Saat-Derslik Atama'!$N$7:$N$456&gt;=3))</f>
        <v>0</v>
      </c>
      <c r="E48" s="0" t="n">
        <f aca="false">SUMPRODUCT(('4-Gün-Saat-Derslik Atama'!$A$7:$A$456="Seçildi")*('4-Gün-Saat-Derslik Atama'!$D$7:$D$456=3)*('4-Gün-Saat-Derslik Atama'!$I$7:$I$456="Perşembe")*('4-Gün-Saat-Derslik Atama'!$M$7:$M$456&lt;=3)*('4-Gün-Saat-Derslik Atama'!$N$7:$N$456&gt;=3))</f>
        <v>0</v>
      </c>
      <c r="F48" s="0" t="n">
        <f aca="false">SUMPRODUCT(('4-Gün-Saat-Derslik Atama'!$A$7:$A$456="Seçildi")*('4-Gün-Saat-Derslik Atama'!$D$7:$D$456=3)*('4-Gün-Saat-Derslik Atama'!$I$7:$I$456="Cuma")*('4-Gün-Saat-Derslik Atama'!$M$7:$M$456&lt;=3)*('4-Gün-Saat-Derslik Atama'!$N$7:$N$456&gt;=3))</f>
        <v>0</v>
      </c>
    </row>
    <row r="49" customFormat="false" ht="15" hidden="false" customHeight="false" outlineLevel="0" collapsed="false">
      <c r="A49" s="0" t="s">
        <v>327</v>
      </c>
      <c r="B49" s="0" t="n">
        <f aca="false">SUMPRODUCT(('4-Gün-Saat-Derslik Atama'!$A$7:$A$456="Seçildi")*('4-Gün-Saat-Derslik Atama'!$D$7:$D$456=3)*('4-Gün-Saat-Derslik Atama'!$I$7:$I$456="Pazartesi")*('4-Gün-Saat-Derslik Atama'!$M$7:$M$456&lt;=4)*('4-Gün-Saat-Derslik Atama'!$N$7:$N$456&gt;=4))</f>
        <v>0</v>
      </c>
      <c r="C49" s="0" t="n">
        <f aca="false">SUMPRODUCT(('4-Gün-Saat-Derslik Atama'!$A$7:$A$456="Seçildi")*('4-Gün-Saat-Derslik Atama'!$D$7:$D$456=3)*('4-Gün-Saat-Derslik Atama'!$I$7:$I$456="Salı")*('4-Gün-Saat-Derslik Atama'!$M$7:$M$456&lt;=4)*('4-Gün-Saat-Derslik Atama'!$N$7:$N$456&gt;=4))</f>
        <v>0</v>
      </c>
      <c r="D49" s="0" t="n">
        <f aca="false">SUMPRODUCT(('4-Gün-Saat-Derslik Atama'!$A$7:$A$456="Seçildi")*('4-Gün-Saat-Derslik Atama'!$D$7:$D$456=3)*('4-Gün-Saat-Derslik Atama'!$I$7:$I$456="Çarşamba")*('4-Gün-Saat-Derslik Atama'!$M$7:$M$456&lt;=4)*('4-Gün-Saat-Derslik Atama'!$N$7:$N$456&gt;=4))</f>
        <v>0</v>
      </c>
      <c r="E49" s="0" t="n">
        <f aca="false">SUMPRODUCT(('4-Gün-Saat-Derslik Atama'!$A$7:$A$456="Seçildi")*('4-Gün-Saat-Derslik Atama'!$D$7:$D$456=3)*('4-Gün-Saat-Derslik Atama'!$I$7:$I$456="Perşembe")*('4-Gün-Saat-Derslik Atama'!$M$7:$M$456&lt;=4)*('4-Gün-Saat-Derslik Atama'!$N$7:$N$456&gt;=4))</f>
        <v>0</v>
      </c>
      <c r="F49" s="0" t="n">
        <f aca="false">SUMPRODUCT(('4-Gün-Saat-Derslik Atama'!$A$7:$A$456="Seçildi")*('4-Gün-Saat-Derslik Atama'!$D$7:$D$456=3)*('4-Gün-Saat-Derslik Atama'!$I$7:$I$456="Cuma")*('4-Gün-Saat-Derslik Atama'!$M$7:$M$456&lt;=4)*('4-Gün-Saat-Derslik Atama'!$N$7:$N$456&gt;=4))</f>
        <v>0</v>
      </c>
    </row>
    <row r="50" customFormat="false" ht="15" hidden="false" customHeight="false" outlineLevel="0" collapsed="false">
      <c r="A50" s="0" t="s">
        <v>328</v>
      </c>
      <c r="B50" s="0" t="n">
        <f aca="false">SUMPRODUCT(('4-Gün-Saat-Derslik Atama'!$A$7:$A$456="Seçildi")*('4-Gün-Saat-Derslik Atama'!$D$7:$D$456=3)*('4-Gün-Saat-Derslik Atama'!$I$7:$I$456="Pazartesi")*('4-Gün-Saat-Derslik Atama'!$M$7:$M$456&lt;=5)*('4-Gün-Saat-Derslik Atama'!$N$7:$N$456&gt;=5))</f>
        <v>0</v>
      </c>
      <c r="C50" s="0" t="n">
        <f aca="false">SUMPRODUCT(('4-Gün-Saat-Derslik Atama'!$A$7:$A$456="Seçildi")*('4-Gün-Saat-Derslik Atama'!$D$7:$D$456=3)*('4-Gün-Saat-Derslik Atama'!$I$7:$I$456="Salı")*('4-Gün-Saat-Derslik Atama'!$M$7:$M$456&lt;=5)*('4-Gün-Saat-Derslik Atama'!$N$7:$N$456&gt;=5))</f>
        <v>0</v>
      </c>
      <c r="D50" s="0" t="n">
        <f aca="false">SUMPRODUCT(('4-Gün-Saat-Derslik Atama'!$A$7:$A$456="Seçildi")*('4-Gün-Saat-Derslik Atama'!$D$7:$D$456=3)*('4-Gün-Saat-Derslik Atama'!$I$7:$I$456="Çarşamba")*('4-Gün-Saat-Derslik Atama'!$M$7:$M$456&lt;=5)*('4-Gün-Saat-Derslik Atama'!$N$7:$N$456&gt;=5))</f>
        <v>0</v>
      </c>
      <c r="E50" s="0" t="n">
        <f aca="false">SUMPRODUCT(('4-Gün-Saat-Derslik Atama'!$A$7:$A$456="Seçildi")*('4-Gün-Saat-Derslik Atama'!$D$7:$D$456=3)*('4-Gün-Saat-Derslik Atama'!$I$7:$I$456="Perşembe")*('4-Gün-Saat-Derslik Atama'!$M$7:$M$456&lt;=5)*('4-Gün-Saat-Derslik Atama'!$N$7:$N$456&gt;=5))</f>
        <v>0</v>
      </c>
      <c r="F50" s="0" t="n">
        <f aca="false">SUMPRODUCT(('4-Gün-Saat-Derslik Atama'!$A$7:$A$456="Seçildi")*('4-Gün-Saat-Derslik Atama'!$D$7:$D$456=3)*('4-Gün-Saat-Derslik Atama'!$I$7:$I$456="Cuma")*('4-Gün-Saat-Derslik Atama'!$M$7:$M$456&lt;=5)*('4-Gün-Saat-Derslik Atama'!$N$7:$N$456&gt;=5))</f>
        <v>0</v>
      </c>
    </row>
    <row r="51" customFormat="false" ht="15" hidden="false" customHeight="false" outlineLevel="0" collapsed="false">
      <c r="A51" s="0" t="s">
        <v>329</v>
      </c>
      <c r="B51" s="0" t="n">
        <f aca="false">SUMPRODUCT(('4-Gün-Saat-Derslik Atama'!$A$7:$A$456="Seçildi")*('4-Gün-Saat-Derslik Atama'!$D$7:$D$456=3)*('4-Gün-Saat-Derslik Atama'!$I$7:$I$456="Pazartesi")*('4-Gün-Saat-Derslik Atama'!$M$7:$M$456&lt;=6)*('4-Gün-Saat-Derslik Atama'!$N$7:$N$456&gt;=6))</f>
        <v>0</v>
      </c>
      <c r="C51" s="0" t="n">
        <f aca="false">SUMPRODUCT(('4-Gün-Saat-Derslik Atama'!$A$7:$A$456="Seçildi")*('4-Gün-Saat-Derslik Atama'!$D$7:$D$456=3)*('4-Gün-Saat-Derslik Atama'!$I$7:$I$456="Salı")*('4-Gün-Saat-Derslik Atama'!$M$7:$M$456&lt;=6)*('4-Gün-Saat-Derslik Atama'!$N$7:$N$456&gt;=6))</f>
        <v>0</v>
      </c>
      <c r="D51" s="0" t="n">
        <f aca="false">SUMPRODUCT(('4-Gün-Saat-Derslik Atama'!$A$7:$A$456="Seçildi")*('4-Gün-Saat-Derslik Atama'!$D$7:$D$456=3)*('4-Gün-Saat-Derslik Atama'!$I$7:$I$456="Çarşamba")*('4-Gün-Saat-Derslik Atama'!$M$7:$M$456&lt;=6)*('4-Gün-Saat-Derslik Atama'!$N$7:$N$456&gt;=6))</f>
        <v>0</v>
      </c>
      <c r="E51" s="0" t="n">
        <f aca="false">SUMPRODUCT(('4-Gün-Saat-Derslik Atama'!$A$7:$A$456="Seçildi")*('4-Gün-Saat-Derslik Atama'!$D$7:$D$456=3)*('4-Gün-Saat-Derslik Atama'!$I$7:$I$456="Perşembe")*('4-Gün-Saat-Derslik Atama'!$M$7:$M$456&lt;=6)*('4-Gün-Saat-Derslik Atama'!$N$7:$N$456&gt;=6))</f>
        <v>0</v>
      </c>
      <c r="F51" s="0" t="n">
        <f aca="false">SUMPRODUCT(('4-Gün-Saat-Derslik Atama'!$A$7:$A$456="Seçildi")*('4-Gün-Saat-Derslik Atama'!$D$7:$D$456=3)*('4-Gün-Saat-Derslik Atama'!$I$7:$I$456="Cuma")*('4-Gün-Saat-Derslik Atama'!$M$7:$M$456&lt;=6)*('4-Gün-Saat-Derslik Atama'!$N$7:$N$456&gt;=6))</f>
        <v>0</v>
      </c>
    </row>
    <row r="52" customFormat="false" ht="15" hidden="false" customHeight="false" outlineLevel="0" collapsed="false">
      <c r="A52" s="0" t="s">
        <v>330</v>
      </c>
      <c r="B52" s="0" t="n">
        <f aca="false">SUMPRODUCT(('4-Gün-Saat-Derslik Atama'!$A$7:$A$456="Seçildi")*('4-Gün-Saat-Derslik Atama'!$D$7:$D$456=3)*('4-Gün-Saat-Derslik Atama'!$I$7:$I$456="Pazartesi")*('4-Gün-Saat-Derslik Atama'!$M$7:$M$456&lt;=7)*('4-Gün-Saat-Derslik Atama'!$N$7:$N$456&gt;=7))</f>
        <v>0</v>
      </c>
      <c r="C52" s="0" t="n">
        <f aca="false">SUMPRODUCT(('4-Gün-Saat-Derslik Atama'!$A$7:$A$456="Seçildi")*('4-Gün-Saat-Derslik Atama'!$D$7:$D$456=3)*('4-Gün-Saat-Derslik Atama'!$I$7:$I$456="Salı")*('4-Gün-Saat-Derslik Atama'!$M$7:$M$456&lt;=7)*('4-Gün-Saat-Derslik Atama'!$N$7:$N$456&gt;=7))</f>
        <v>0</v>
      </c>
      <c r="D52" s="0" t="n">
        <f aca="false">SUMPRODUCT(('4-Gün-Saat-Derslik Atama'!$A$7:$A$456="Seçildi")*('4-Gün-Saat-Derslik Atama'!$D$7:$D$456=3)*('4-Gün-Saat-Derslik Atama'!$I$7:$I$456="Çarşamba")*('4-Gün-Saat-Derslik Atama'!$M$7:$M$456&lt;=7)*('4-Gün-Saat-Derslik Atama'!$N$7:$N$456&gt;=7))</f>
        <v>0</v>
      </c>
      <c r="E52" s="0" t="n">
        <f aca="false">SUMPRODUCT(('4-Gün-Saat-Derslik Atama'!$A$7:$A$456="Seçildi")*('4-Gün-Saat-Derslik Atama'!$D$7:$D$456=3)*('4-Gün-Saat-Derslik Atama'!$I$7:$I$456="Perşembe")*('4-Gün-Saat-Derslik Atama'!$M$7:$M$456&lt;=7)*('4-Gün-Saat-Derslik Atama'!$N$7:$N$456&gt;=7))</f>
        <v>0</v>
      </c>
      <c r="F52" s="0" t="n">
        <f aca="false">SUMPRODUCT(('4-Gün-Saat-Derslik Atama'!$A$7:$A$456="Seçildi")*('4-Gün-Saat-Derslik Atama'!$D$7:$D$456=3)*('4-Gün-Saat-Derslik Atama'!$I$7:$I$456="Cuma")*('4-Gün-Saat-Derslik Atama'!$M$7:$M$456&lt;=7)*('4-Gün-Saat-Derslik Atama'!$N$7:$N$456&gt;=7))</f>
        <v>0</v>
      </c>
    </row>
    <row r="53" customFormat="false" ht="15" hidden="false" customHeight="false" outlineLevel="0" collapsed="false">
      <c r="A53" s="0" t="s">
        <v>331</v>
      </c>
      <c r="B53" s="0" t="n">
        <f aca="false">SUMPRODUCT(('4-Gün-Saat-Derslik Atama'!$A$7:$A$456="Seçildi")*('4-Gün-Saat-Derslik Atama'!$D$7:$D$456=3)*('4-Gün-Saat-Derslik Atama'!$I$7:$I$456="Pazartesi")*('4-Gün-Saat-Derslik Atama'!$M$7:$M$456&lt;=8)*('4-Gün-Saat-Derslik Atama'!$N$7:$N$456&gt;=8))</f>
        <v>0</v>
      </c>
      <c r="C53" s="0" t="n">
        <f aca="false">SUMPRODUCT(('4-Gün-Saat-Derslik Atama'!$A$7:$A$456="Seçildi")*('4-Gün-Saat-Derslik Atama'!$D$7:$D$456=3)*('4-Gün-Saat-Derslik Atama'!$I$7:$I$456="Salı")*('4-Gün-Saat-Derslik Atama'!$M$7:$M$456&lt;=8)*('4-Gün-Saat-Derslik Atama'!$N$7:$N$456&gt;=8))</f>
        <v>0</v>
      </c>
      <c r="D53" s="0" t="n">
        <f aca="false">SUMPRODUCT(('4-Gün-Saat-Derslik Atama'!$A$7:$A$456="Seçildi")*('4-Gün-Saat-Derslik Atama'!$D$7:$D$456=3)*('4-Gün-Saat-Derslik Atama'!$I$7:$I$456="Çarşamba")*('4-Gün-Saat-Derslik Atama'!$M$7:$M$456&lt;=8)*('4-Gün-Saat-Derslik Atama'!$N$7:$N$456&gt;=8))</f>
        <v>0</v>
      </c>
      <c r="E53" s="0" t="n">
        <f aca="false">SUMPRODUCT(('4-Gün-Saat-Derslik Atama'!$A$7:$A$456="Seçildi")*('4-Gün-Saat-Derslik Atama'!$D$7:$D$456=3)*('4-Gün-Saat-Derslik Atama'!$I$7:$I$456="Perşembe")*('4-Gün-Saat-Derslik Atama'!$M$7:$M$456&lt;=8)*('4-Gün-Saat-Derslik Atama'!$N$7:$N$456&gt;=8))</f>
        <v>0</v>
      </c>
      <c r="F53" s="0" t="n">
        <f aca="false">SUMPRODUCT(('4-Gün-Saat-Derslik Atama'!$A$7:$A$456="Seçildi")*('4-Gün-Saat-Derslik Atama'!$D$7:$D$456=3)*('4-Gün-Saat-Derslik Atama'!$I$7:$I$456="Cuma")*('4-Gün-Saat-Derslik Atama'!$M$7:$M$456&lt;=8)*('4-Gün-Saat-Derslik Atama'!$N$7:$N$456&gt;=8))</f>
        <v>0</v>
      </c>
    </row>
    <row r="54" customFormat="false" ht="15" hidden="false" customHeight="false" outlineLevel="0" collapsed="false">
      <c r="A54" s="0" t="s">
        <v>332</v>
      </c>
      <c r="B54" s="0" t="n">
        <f aca="false">SUMPRODUCT(('4-Gün-Saat-Derslik Atama'!$A$7:$A$456="Seçildi")*('4-Gün-Saat-Derslik Atama'!$D$7:$D$456=3)*('4-Gün-Saat-Derslik Atama'!$I$7:$I$456="Pazartesi")*('4-Gün-Saat-Derslik Atama'!$M$7:$M$456&lt;=9)*('4-Gün-Saat-Derslik Atama'!$N$7:$N$456&gt;=9))</f>
        <v>0</v>
      </c>
      <c r="C54" s="0" t="n">
        <f aca="false">SUMPRODUCT(('4-Gün-Saat-Derslik Atama'!$A$7:$A$456="Seçildi")*('4-Gün-Saat-Derslik Atama'!$D$7:$D$456=3)*('4-Gün-Saat-Derslik Atama'!$I$7:$I$456="Salı")*('4-Gün-Saat-Derslik Atama'!$M$7:$M$456&lt;=9)*('4-Gün-Saat-Derslik Atama'!$N$7:$N$456&gt;=9))</f>
        <v>0</v>
      </c>
      <c r="D54" s="0" t="n">
        <f aca="false">SUMPRODUCT(('4-Gün-Saat-Derslik Atama'!$A$7:$A$456="Seçildi")*('4-Gün-Saat-Derslik Atama'!$D$7:$D$456=3)*('4-Gün-Saat-Derslik Atama'!$I$7:$I$456="Çarşamba")*('4-Gün-Saat-Derslik Atama'!$M$7:$M$456&lt;=9)*('4-Gün-Saat-Derslik Atama'!$N$7:$N$456&gt;=9))</f>
        <v>0</v>
      </c>
      <c r="E54" s="0" t="n">
        <f aca="false">SUMPRODUCT(('4-Gün-Saat-Derslik Atama'!$A$7:$A$456="Seçildi")*('4-Gün-Saat-Derslik Atama'!$D$7:$D$456=3)*('4-Gün-Saat-Derslik Atama'!$I$7:$I$456="Perşembe")*('4-Gün-Saat-Derslik Atama'!$M$7:$M$456&lt;=9)*('4-Gün-Saat-Derslik Atama'!$N$7:$N$456&gt;=9))</f>
        <v>0</v>
      </c>
      <c r="F54" s="0" t="n">
        <f aca="false">SUMPRODUCT(('4-Gün-Saat-Derslik Atama'!$A$7:$A$456="Seçildi")*('4-Gün-Saat-Derslik Atama'!$D$7:$D$456=3)*('4-Gün-Saat-Derslik Atama'!$I$7:$I$456="Cuma")*('4-Gün-Saat-Derslik Atama'!$M$7:$M$456&lt;=9)*('4-Gün-Saat-Derslik Atama'!$N$7:$N$456&gt;=9))</f>
        <v>0</v>
      </c>
    </row>
    <row r="55" customFormat="false" ht="15" hidden="false" customHeight="false" outlineLevel="0" collapsed="false">
      <c r="A55" s="0" t="s">
        <v>333</v>
      </c>
      <c r="B55" s="0" t="n">
        <f aca="false">SUMPRODUCT(('4-Gün-Saat-Derslik Atama'!$A$7:$A$456="Seçildi")*('4-Gün-Saat-Derslik Atama'!$D$7:$D$456=3)*('4-Gün-Saat-Derslik Atama'!$I$7:$I$456="Pazartesi")*('4-Gün-Saat-Derslik Atama'!$M$7:$M$456&lt;=10)*('4-Gün-Saat-Derslik Atama'!$N$7:$N$456&gt;=10))</f>
        <v>0</v>
      </c>
      <c r="C55" s="0" t="n">
        <f aca="false">SUMPRODUCT(('4-Gün-Saat-Derslik Atama'!$A$7:$A$456="Seçildi")*('4-Gün-Saat-Derslik Atama'!$D$7:$D$456=3)*('4-Gün-Saat-Derslik Atama'!$I$7:$I$456="Salı")*('4-Gün-Saat-Derslik Atama'!$M$7:$M$456&lt;=10)*('4-Gün-Saat-Derslik Atama'!$N$7:$N$456&gt;=10))</f>
        <v>0</v>
      </c>
      <c r="D55" s="0" t="n">
        <f aca="false">SUMPRODUCT(('4-Gün-Saat-Derslik Atama'!$A$7:$A$456="Seçildi")*('4-Gün-Saat-Derslik Atama'!$D$7:$D$456=3)*('4-Gün-Saat-Derslik Atama'!$I$7:$I$456="Çarşamba")*('4-Gün-Saat-Derslik Atama'!$M$7:$M$456&lt;=10)*('4-Gün-Saat-Derslik Atama'!$N$7:$N$456&gt;=10))</f>
        <v>0</v>
      </c>
      <c r="E55" s="0" t="n">
        <f aca="false">SUMPRODUCT(('4-Gün-Saat-Derslik Atama'!$A$7:$A$456="Seçildi")*('4-Gün-Saat-Derslik Atama'!$D$7:$D$456=3)*('4-Gün-Saat-Derslik Atama'!$I$7:$I$456="Perşembe")*('4-Gün-Saat-Derslik Atama'!$M$7:$M$456&lt;=10)*('4-Gün-Saat-Derslik Atama'!$N$7:$N$456&gt;=10))</f>
        <v>0</v>
      </c>
      <c r="F55" s="0" t="n">
        <f aca="false">SUMPRODUCT(('4-Gün-Saat-Derslik Atama'!$A$7:$A$456="Seçildi")*('4-Gün-Saat-Derslik Atama'!$D$7:$D$456=3)*('4-Gün-Saat-Derslik Atama'!$I$7:$I$456="Cuma")*('4-Gün-Saat-Derslik Atama'!$M$7:$M$456&lt;=10)*('4-Gün-Saat-Derslik Atama'!$N$7:$N$456&gt;=10))</f>
        <v>0</v>
      </c>
    </row>
    <row r="56" customFormat="false" ht="15" hidden="false" customHeight="false" outlineLevel="0" collapsed="false">
      <c r="A56" s="0" t="s">
        <v>338</v>
      </c>
    </row>
    <row r="57" customFormat="false" ht="15" hidden="false" customHeight="false" outlineLevel="0" collapsed="false">
      <c r="A57" s="0" t="s">
        <v>324</v>
      </c>
      <c r="B57" s="0" t="n">
        <f aca="false">SUMPRODUCT(('4-Gün-Saat-Derslik Atama'!$A$7:$A$456="Seçildi")*('4-Gün-Saat-Derslik Atama'!$D$7:$D$456=3)*('4-Gün-Saat-Derslik Atama'!$I$7:$I$456="Pazartesi")*('4-Gün-Saat-Derslik Atama'!$M$7:$M$456&lt;=1)*('4-Gün-Saat-Derslik Atama'!$N$7:$N$456&gt;=1)*(ROW('4-Gün-Saat-Derslik Atama'!$A$7:$A$456)-7+1))</f>
        <v>0</v>
      </c>
      <c r="C57" s="0" t="n">
        <f aca="false">SUMPRODUCT(('4-Gün-Saat-Derslik Atama'!$A$7:$A$456="Seçildi")*('4-Gün-Saat-Derslik Atama'!$D$7:$D$456=3)*('4-Gün-Saat-Derslik Atama'!$I$7:$I$456="Salı")*('4-Gün-Saat-Derslik Atama'!$M$7:$M$456&lt;=1)*('4-Gün-Saat-Derslik Atama'!$N$7:$N$456&gt;=1)*(ROW('4-Gün-Saat-Derslik Atama'!$A$7:$A$456)-7+1))</f>
        <v>0</v>
      </c>
      <c r="D57" s="0" t="n">
        <f aca="false">SUMPRODUCT(('4-Gün-Saat-Derslik Atama'!$A$7:$A$456="Seçildi")*('4-Gün-Saat-Derslik Atama'!$D$7:$D$456=3)*('4-Gün-Saat-Derslik Atama'!$I$7:$I$456="Çarşamba")*('4-Gün-Saat-Derslik Atama'!$M$7:$M$456&lt;=1)*('4-Gün-Saat-Derslik Atama'!$N$7:$N$456&gt;=1)*(ROW('4-Gün-Saat-Derslik Atama'!$A$7:$A$456)-7+1))</f>
        <v>0</v>
      </c>
      <c r="E57" s="0" t="n">
        <f aca="false">SUMPRODUCT(('4-Gün-Saat-Derslik Atama'!$A$7:$A$456="Seçildi")*('4-Gün-Saat-Derslik Atama'!$D$7:$D$456=3)*('4-Gün-Saat-Derslik Atama'!$I$7:$I$456="Perşembe")*('4-Gün-Saat-Derslik Atama'!$M$7:$M$456&lt;=1)*('4-Gün-Saat-Derslik Atama'!$N$7:$N$456&gt;=1)*(ROW('4-Gün-Saat-Derslik Atama'!$A$7:$A$456)-7+1))</f>
        <v>0</v>
      </c>
      <c r="F57" s="0" t="n">
        <f aca="false">SUMPRODUCT(('4-Gün-Saat-Derslik Atama'!$A$7:$A$456="Seçildi")*('4-Gün-Saat-Derslik Atama'!$D$7:$D$456=3)*('4-Gün-Saat-Derslik Atama'!$I$7:$I$456="Cuma")*('4-Gün-Saat-Derslik Atama'!$M$7:$M$456&lt;=1)*('4-Gün-Saat-Derslik Atama'!$N$7:$N$456&gt;=1)*(ROW('4-Gün-Saat-Derslik Atama'!$A$7:$A$456)-7+1))</f>
        <v>0</v>
      </c>
    </row>
    <row r="58" customFormat="false" ht="15" hidden="false" customHeight="false" outlineLevel="0" collapsed="false">
      <c r="A58" s="0" t="s">
        <v>325</v>
      </c>
      <c r="B58" s="0" t="n">
        <f aca="false">SUMPRODUCT(('4-Gün-Saat-Derslik Atama'!$A$7:$A$456="Seçildi")*('4-Gün-Saat-Derslik Atama'!$D$7:$D$456=3)*('4-Gün-Saat-Derslik Atama'!$I$7:$I$456="Pazartesi")*('4-Gün-Saat-Derslik Atama'!$M$7:$M$456&lt;=2)*('4-Gün-Saat-Derslik Atama'!$N$7:$N$456&gt;=2)*(ROW('4-Gün-Saat-Derslik Atama'!$A$7:$A$456)-7+1))</f>
        <v>0</v>
      </c>
      <c r="C58" s="0" t="n">
        <f aca="false">SUMPRODUCT(('4-Gün-Saat-Derslik Atama'!$A$7:$A$456="Seçildi")*('4-Gün-Saat-Derslik Atama'!$D$7:$D$456=3)*('4-Gün-Saat-Derslik Atama'!$I$7:$I$456="Salı")*('4-Gün-Saat-Derslik Atama'!$M$7:$M$456&lt;=2)*('4-Gün-Saat-Derslik Atama'!$N$7:$N$456&gt;=2)*(ROW('4-Gün-Saat-Derslik Atama'!$A$7:$A$456)-7+1))</f>
        <v>0</v>
      </c>
      <c r="D58" s="0" t="n">
        <f aca="false">SUMPRODUCT(('4-Gün-Saat-Derslik Atama'!$A$7:$A$456="Seçildi")*('4-Gün-Saat-Derslik Atama'!$D$7:$D$456=3)*('4-Gün-Saat-Derslik Atama'!$I$7:$I$456="Çarşamba")*('4-Gün-Saat-Derslik Atama'!$M$7:$M$456&lt;=2)*('4-Gün-Saat-Derslik Atama'!$N$7:$N$456&gt;=2)*(ROW('4-Gün-Saat-Derslik Atama'!$A$7:$A$456)-7+1))</f>
        <v>0</v>
      </c>
      <c r="E58" s="0" t="n">
        <f aca="false">SUMPRODUCT(('4-Gün-Saat-Derslik Atama'!$A$7:$A$456="Seçildi")*('4-Gün-Saat-Derslik Atama'!$D$7:$D$456=3)*('4-Gün-Saat-Derslik Atama'!$I$7:$I$456="Perşembe")*('4-Gün-Saat-Derslik Atama'!$M$7:$M$456&lt;=2)*('4-Gün-Saat-Derslik Atama'!$N$7:$N$456&gt;=2)*(ROW('4-Gün-Saat-Derslik Atama'!$A$7:$A$456)-7+1))</f>
        <v>0</v>
      </c>
      <c r="F58" s="0" t="n">
        <f aca="false">SUMPRODUCT(('4-Gün-Saat-Derslik Atama'!$A$7:$A$456="Seçildi")*('4-Gün-Saat-Derslik Atama'!$D$7:$D$456=3)*('4-Gün-Saat-Derslik Atama'!$I$7:$I$456="Cuma")*('4-Gün-Saat-Derslik Atama'!$M$7:$M$456&lt;=2)*('4-Gün-Saat-Derslik Atama'!$N$7:$N$456&gt;=2)*(ROW('4-Gün-Saat-Derslik Atama'!$A$7:$A$456)-7+1))</f>
        <v>0</v>
      </c>
    </row>
    <row r="59" customFormat="false" ht="15" hidden="false" customHeight="false" outlineLevel="0" collapsed="false">
      <c r="A59" s="0" t="s">
        <v>326</v>
      </c>
      <c r="B59" s="0" t="n">
        <f aca="false">SUMPRODUCT(('4-Gün-Saat-Derslik Atama'!$A$7:$A$456="Seçildi")*('4-Gün-Saat-Derslik Atama'!$D$7:$D$456=3)*('4-Gün-Saat-Derslik Atama'!$I$7:$I$456="Pazartesi")*('4-Gün-Saat-Derslik Atama'!$M$7:$M$456&lt;=3)*('4-Gün-Saat-Derslik Atama'!$N$7:$N$456&gt;=3)*(ROW('4-Gün-Saat-Derslik Atama'!$A$7:$A$456)-7+1))</f>
        <v>0</v>
      </c>
      <c r="C59" s="0" t="n">
        <f aca="false">SUMPRODUCT(('4-Gün-Saat-Derslik Atama'!$A$7:$A$456="Seçildi")*('4-Gün-Saat-Derslik Atama'!$D$7:$D$456=3)*('4-Gün-Saat-Derslik Atama'!$I$7:$I$456="Salı")*('4-Gün-Saat-Derslik Atama'!$M$7:$M$456&lt;=3)*('4-Gün-Saat-Derslik Atama'!$N$7:$N$456&gt;=3)*(ROW('4-Gün-Saat-Derslik Atama'!$A$7:$A$456)-7+1))</f>
        <v>0</v>
      </c>
      <c r="D59" s="0" t="n">
        <f aca="false">SUMPRODUCT(('4-Gün-Saat-Derslik Atama'!$A$7:$A$456="Seçildi")*('4-Gün-Saat-Derslik Atama'!$D$7:$D$456=3)*('4-Gün-Saat-Derslik Atama'!$I$7:$I$456="Çarşamba")*('4-Gün-Saat-Derslik Atama'!$M$7:$M$456&lt;=3)*('4-Gün-Saat-Derslik Atama'!$N$7:$N$456&gt;=3)*(ROW('4-Gün-Saat-Derslik Atama'!$A$7:$A$456)-7+1))</f>
        <v>0</v>
      </c>
      <c r="E59" s="0" t="n">
        <f aca="false">SUMPRODUCT(('4-Gün-Saat-Derslik Atama'!$A$7:$A$456="Seçildi")*('4-Gün-Saat-Derslik Atama'!$D$7:$D$456=3)*('4-Gün-Saat-Derslik Atama'!$I$7:$I$456="Perşembe")*('4-Gün-Saat-Derslik Atama'!$M$7:$M$456&lt;=3)*('4-Gün-Saat-Derslik Atama'!$N$7:$N$456&gt;=3)*(ROW('4-Gün-Saat-Derslik Atama'!$A$7:$A$456)-7+1))</f>
        <v>0</v>
      </c>
      <c r="F59" s="0" t="n">
        <f aca="false">SUMPRODUCT(('4-Gün-Saat-Derslik Atama'!$A$7:$A$456="Seçildi")*('4-Gün-Saat-Derslik Atama'!$D$7:$D$456=3)*('4-Gün-Saat-Derslik Atama'!$I$7:$I$456="Cuma")*('4-Gün-Saat-Derslik Atama'!$M$7:$M$456&lt;=3)*('4-Gün-Saat-Derslik Atama'!$N$7:$N$456&gt;=3)*(ROW('4-Gün-Saat-Derslik Atama'!$A$7:$A$456)-7+1))</f>
        <v>0</v>
      </c>
    </row>
    <row r="60" customFormat="false" ht="15" hidden="false" customHeight="false" outlineLevel="0" collapsed="false">
      <c r="A60" s="0" t="s">
        <v>327</v>
      </c>
      <c r="B60" s="0" t="n">
        <f aca="false">SUMPRODUCT(('4-Gün-Saat-Derslik Atama'!$A$7:$A$456="Seçildi")*('4-Gün-Saat-Derslik Atama'!$D$7:$D$456=3)*('4-Gün-Saat-Derslik Atama'!$I$7:$I$456="Pazartesi")*('4-Gün-Saat-Derslik Atama'!$M$7:$M$456&lt;=4)*('4-Gün-Saat-Derslik Atama'!$N$7:$N$456&gt;=4)*(ROW('4-Gün-Saat-Derslik Atama'!$A$7:$A$456)-7+1))</f>
        <v>0</v>
      </c>
      <c r="C60" s="0" t="n">
        <f aca="false">SUMPRODUCT(('4-Gün-Saat-Derslik Atama'!$A$7:$A$456="Seçildi")*('4-Gün-Saat-Derslik Atama'!$D$7:$D$456=3)*('4-Gün-Saat-Derslik Atama'!$I$7:$I$456="Salı")*('4-Gün-Saat-Derslik Atama'!$M$7:$M$456&lt;=4)*('4-Gün-Saat-Derslik Atama'!$N$7:$N$456&gt;=4)*(ROW('4-Gün-Saat-Derslik Atama'!$A$7:$A$456)-7+1))</f>
        <v>0</v>
      </c>
      <c r="D60" s="0" t="n">
        <f aca="false">SUMPRODUCT(('4-Gün-Saat-Derslik Atama'!$A$7:$A$456="Seçildi")*('4-Gün-Saat-Derslik Atama'!$D$7:$D$456=3)*('4-Gün-Saat-Derslik Atama'!$I$7:$I$456="Çarşamba")*('4-Gün-Saat-Derslik Atama'!$M$7:$M$456&lt;=4)*('4-Gün-Saat-Derslik Atama'!$N$7:$N$456&gt;=4)*(ROW('4-Gün-Saat-Derslik Atama'!$A$7:$A$456)-7+1))</f>
        <v>0</v>
      </c>
      <c r="E60" s="0" t="n">
        <f aca="false">SUMPRODUCT(('4-Gün-Saat-Derslik Atama'!$A$7:$A$456="Seçildi")*('4-Gün-Saat-Derslik Atama'!$D$7:$D$456=3)*('4-Gün-Saat-Derslik Atama'!$I$7:$I$456="Perşembe")*('4-Gün-Saat-Derslik Atama'!$M$7:$M$456&lt;=4)*('4-Gün-Saat-Derslik Atama'!$N$7:$N$456&gt;=4)*(ROW('4-Gün-Saat-Derslik Atama'!$A$7:$A$456)-7+1))</f>
        <v>0</v>
      </c>
      <c r="F60" s="0" t="n">
        <f aca="false">SUMPRODUCT(('4-Gün-Saat-Derslik Atama'!$A$7:$A$456="Seçildi")*('4-Gün-Saat-Derslik Atama'!$D$7:$D$456=3)*('4-Gün-Saat-Derslik Atama'!$I$7:$I$456="Cuma")*('4-Gün-Saat-Derslik Atama'!$M$7:$M$456&lt;=4)*('4-Gün-Saat-Derslik Atama'!$N$7:$N$456&gt;=4)*(ROW('4-Gün-Saat-Derslik Atama'!$A$7:$A$456)-7+1))</f>
        <v>0</v>
      </c>
    </row>
    <row r="61" customFormat="false" ht="15" hidden="false" customHeight="false" outlineLevel="0" collapsed="false">
      <c r="A61" s="0" t="s">
        <v>328</v>
      </c>
      <c r="B61" s="0" t="n">
        <f aca="false">SUMPRODUCT(('4-Gün-Saat-Derslik Atama'!$A$7:$A$456="Seçildi")*('4-Gün-Saat-Derslik Atama'!$D$7:$D$456=3)*('4-Gün-Saat-Derslik Atama'!$I$7:$I$456="Pazartesi")*('4-Gün-Saat-Derslik Atama'!$M$7:$M$456&lt;=5)*('4-Gün-Saat-Derslik Atama'!$N$7:$N$456&gt;=5)*(ROW('4-Gün-Saat-Derslik Atama'!$A$7:$A$456)-7+1))</f>
        <v>0</v>
      </c>
      <c r="C61" s="0" t="n">
        <f aca="false">SUMPRODUCT(('4-Gün-Saat-Derslik Atama'!$A$7:$A$456="Seçildi")*('4-Gün-Saat-Derslik Atama'!$D$7:$D$456=3)*('4-Gün-Saat-Derslik Atama'!$I$7:$I$456="Salı")*('4-Gün-Saat-Derslik Atama'!$M$7:$M$456&lt;=5)*('4-Gün-Saat-Derslik Atama'!$N$7:$N$456&gt;=5)*(ROW('4-Gün-Saat-Derslik Atama'!$A$7:$A$456)-7+1))</f>
        <v>0</v>
      </c>
      <c r="D61" s="0" t="n">
        <f aca="false">SUMPRODUCT(('4-Gün-Saat-Derslik Atama'!$A$7:$A$456="Seçildi")*('4-Gün-Saat-Derslik Atama'!$D$7:$D$456=3)*('4-Gün-Saat-Derslik Atama'!$I$7:$I$456="Çarşamba")*('4-Gün-Saat-Derslik Atama'!$M$7:$M$456&lt;=5)*('4-Gün-Saat-Derslik Atama'!$N$7:$N$456&gt;=5)*(ROW('4-Gün-Saat-Derslik Atama'!$A$7:$A$456)-7+1))</f>
        <v>0</v>
      </c>
      <c r="E61" s="0" t="n">
        <f aca="false">SUMPRODUCT(('4-Gün-Saat-Derslik Atama'!$A$7:$A$456="Seçildi")*('4-Gün-Saat-Derslik Atama'!$D$7:$D$456=3)*('4-Gün-Saat-Derslik Atama'!$I$7:$I$456="Perşembe")*('4-Gün-Saat-Derslik Atama'!$M$7:$M$456&lt;=5)*('4-Gün-Saat-Derslik Atama'!$N$7:$N$456&gt;=5)*(ROW('4-Gün-Saat-Derslik Atama'!$A$7:$A$456)-7+1))</f>
        <v>0</v>
      </c>
      <c r="F61" s="0" t="n">
        <f aca="false">SUMPRODUCT(('4-Gün-Saat-Derslik Atama'!$A$7:$A$456="Seçildi")*('4-Gün-Saat-Derslik Atama'!$D$7:$D$456=3)*('4-Gün-Saat-Derslik Atama'!$I$7:$I$456="Cuma")*('4-Gün-Saat-Derslik Atama'!$M$7:$M$456&lt;=5)*('4-Gün-Saat-Derslik Atama'!$N$7:$N$456&gt;=5)*(ROW('4-Gün-Saat-Derslik Atama'!$A$7:$A$456)-7+1))</f>
        <v>0</v>
      </c>
    </row>
    <row r="62" customFormat="false" ht="15" hidden="false" customHeight="false" outlineLevel="0" collapsed="false">
      <c r="A62" s="0" t="s">
        <v>329</v>
      </c>
      <c r="B62" s="0" t="n">
        <f aca="false">SUMPRODUCT(('4-Gün-Saat-Derslik Atama'!$A$7:$A$456="Seçildi")*('4-Gün-Saat-Derslik Atama'!$D$7:$D$456=3)*('4-Gün-Saat-Derslik Atama'!$I$7:$I$456="Pazartesi")*('4-Gün-Saat-Derslik Atama'!$M$7:$M$456&lt;=6)*('4-Gün-Saat-Derslik Atama'!$N$7:$N$456&gt;=6)*(ROW('4-Gün-Saat-Derslik Atama'!$A$7:$A$456)-7+1))</f>
        <v>0</v>
      </c>
      <c r="C62" s="0" t="n">
        <f aca="false">SUMPRODUCT(('4-Gün-Saat-Derslik Atama'!$A$7:$A$456="Seçildi")*('4-Gün-Saat-Derslik Atama'!$D$7:$D$456=3)*('4-Gün-Saat-Derslik Atama'!$I$7:$I$456="Salı")*('4-Gün-Saat-Derslik Atama'!$M$7:$M$456&lt;=6)*('4-Gün-Saat-Derslik Atama'!$N$7:$N$456&gt;=6)*(ROW('4-Gün-Saat-Derslik Atama'!$A$7:$A$456)-7+1))</f>
        <v>0</v>
      </c>
      <c r="D62" s="0" t="n">
        <f aca="false">SUMPRODUCT(('4-Gün-Saat-Derslik Atama'!$A$7:$A$456="Seçildi")*('4-Gün-Saat-Derslik Atama'!$D$7:$D$456=3)*('4-Gün-Saat-Derslik Atama'!$I$7:$I$456="Çarşamba")*('4-Gün-Saat-Derslik Atama'!$M$7:$M$456&lt;=6)*('4-Gün-Saat-Derslik Atama'!$N$7:$N$456&gt;=6)*(ROW('4-Gün-Saat-Derslik Atama'!$A$7:$A$456)-7+1))</f>
        <v>0</v>
      </c>
      <c r="E62" s="0" t="n">
        <f aca="false">SUMPRODUCT(('4-Gün-Saat-Derslik Atama'!$A$7:$A$456="Seçildi")*('4-Gün-Saat-Derslik Atama'!$D$7:$D$456=3)*('4-Gün-Saat-Derslik Atama'!$I$7:$I$456="Perşembe")*('4-Gün-Saat-Derslik Atama'!$M$7:$M$456&lt;=6)*('4-Gün-Saat-Derslik Atama'!$N$7:$N$456&gt;=6)*(ROW('4-Gün-Saat-Derslik Atama'!$A$7:$A$456)-7+1))</f>
        <v>0</v>
      </c>
      <c r="F62" s="0" t="n">
        <f aca="false">SUMPRODUCT(('4-Gün-Saat-Derslik Atama'!$A$7:$A$456="Seçildi")*('4-Gün-Saat-Derslik Atama'!$D$7:$D$456=3)*('4-Gün-Saat-Derslik Atama'!$I$7:$I$456="Cuma")*('4-Gün-Saat-Derslik Atama'!$M$7:$M$456&lt;=6)*('4-Gün-Saat-Derslik Atama'!$N$7:$N$456&gt;=6)*(ROW('4-Gün-Saat-Derslik Atama'!$A$7:$A$456)-7+1))</f>
        <v>0</v>
      </c>
    </row>
    <row r="63" customFormat="false" ht="15" hidden="false" customHeight="false" outlineLevel="0" collapsed="false">
      <c r="A63" s="0" t="s">
        <v>330</v>
      </c>
      <c r="B63" s="0" t="n">
        <f aca="false">SUMPRODUCT(('4-Gün-Saat-Derslik Atama'!$A$7:$A$456="Seçildi")*('4-Gün-Saat-Derslik Atama'!$D$7:$D$456=3)*('4-Gün-Saat-Derslik Atama'!$I$7:$I$456="Pazartesi")*('4-Gün-Saat-Derslik Atama'!$M$7:$M$456&lt;=7)*('4-Gün-Saat-Derslik Atama'!$N$7:$N$456&gt;=7)*(ROW('4-Gün-Saat-Derslik Atama'!$A$7:$A$456)-7+1))</f>
        <v>0</v>
      </c>
      <c r="C63" s="0" t="n">
        <f aca="false">SUMPRODUCT(('4-Gün-Saat-Derslik Atama'!$A$7:$A$456="Seçildi")*('4-Gün-Saat-Derslik Atama'!$D$7:$D$456=3)*('4-Gün-Saat-Derslik Atama'!$I$7:$I$456="Salı")*('4-Gün-Saat-Derslik Atama'!$M$7:$M$456&lt;=7)*('4-Gün-Saat-Derslik Atama'!$N$7:$N$456&gt;=7)*(ROW('4-Gün-Saat-Derslik Atama'!$A$7:$A$456)-7+1))</f>
        <v>0</v>
      </c>
      <c r="D63" s="0" t="n">
        <f aca="false">SUMPRODUCT(('4-Gün-Saat-Derslik Atama'!$A$7:$A$456="Seçildi")*('4-Gün-Saat-Derslik Atama'!$D$7:$D$456=3)*('4-Gün-Saat-Derslik Atama'!$I$7:$I$456="Çarşamba")*('4-Gün-Saat-Derslik Atama'!$M$7:$M$456&lt;=7)*('4-Gün-Saat-Derslik Atama'!$N$7:$N$456&gt;=7)*(ROW('4-Gün-Saat-Derslik Atama'!$A$7:$A$456)-7+1))</f>
        <v>0</v>
      </c>
      <c r="E63" s="0" t="n">
        <f aca="false">SUMPRODUCT(('4-Gün-Saat-Derslik Atama'!$A$7:$A$456="Seçildi")*('4-Gün-Saat-Derslik Atama'!$D$7:$D$456=3)*('4-Gün-Saat-Derslik Atama'!$I$7:$I$456="Perşembe")*('4-Gün-Saat-Derslik Atama'!$M$7:$M$456&lt;=7)*('4-Gün-Saat-Derslik Atama'!$N$7:$N$456&gt;=7)*(ROW('4-Gün-Saat-Derslik Atama'!$A$7:$A$456)-7+1))</f>
        <v>0</v>
      </c>
      <c r="F63" s="0" t="n">
        <f aca="false">SUMPRODUCT(('4-Gün-Saat-Derslik Atama'!$A$7:$A$456="Seçildi")*('4-Gün-Saat-Derslik Atama'!$D$7:$D$456=3)*('4-Gün-Saat-Derslik Atama'!$I$7:$I$456="Cuma")*('4-Gün-Saat-Derslik Atama'!$M$7:$M$456&lt;=7)*('4-Gün-Saat-Derslik Atama'!$N$7:$N$456&gt;=7)*(ROW('4-Gün-Saat-Derslik Atama'!$A$7:$A$456)-7+1))</f>
        <v>0</v>
      </c>
    </row>
    <row r="64" customFormat="false" ht="15" hidden="false" customHeight="false" outlineLevel="0" collapsed="false">
      <c r="A64" s="0" t="s">
        <v>331</v>
      </c>
      <c r="B64" s="0" t="n">
        <f aca="false">SUMPRODUCT(('4-Gün-Saat-Derslik Atama'!$A$7:$A$456="Seçildi")*('4-Gün-Saat-Derslik Atama'!$D$7:$D$456=3)*('4-Gün-Saat-Derslik Atama'!$I$7:$I$456="Pazartesi")*('4-Gün-Saat-Derslik Atama'!$M$7:$M$456&lt;=8)*('4-Gün-Saat-Derslik Atama'!$N$7:$N$456&gt;=8)*(ROW('4-Gün-Saat-Derslik Atama'!$A$7:$A$456)-7+1))</f>
        <v>0</v>
      </c>
      <c r="C64" s="0" t="n">
        <f aca="false">SUMPRODUCT(('4-Gün-Saat-Derslik Atama'!$A$7:$A$456="Seçildi")*('4-Gün-Saat-Derslik Atama'!$D$7:$D$456=3)*('4-Gün-Saat-Derslik Atama'!$I$7:$I$456="Salı")*('4-Gün-Saat-Derslik Atama'!$M$7:$M$456&lt;=8)*('4-Gün-Saat-Derslik Atama'!$N$7:$N$456&gt;=8)*(ROW('4-Gün-Saat-Derslik Atama'!$A$7:$A$456)-7+1))</f>
        <v>0</v>
      </c>
      <c r="D64" s="0" t="n">
        <f aca="false">SUMPRODUCT(('4-Gün-Saat-Derslik Atama'!$A$7:$A$456="Seçildi")*('4-Gün-Saat-Derslik Atama'!$D$7:$D$456=3)*('4-Gün-Saat-Derslik Atama'!$I$7:$I$456="Çarşamba")*('4-Gün-Saat-Derslik Atama'!$M$7:$M$456&lt;=8)*('4-Gün-Saat-Derslik Atama'!$N$7:$N$456&gt;=8)*(ROW('4-Gün-Saat-Derslik Atama'!$A$7:$A$456)-7+1))</f>
        <v>0</v>
      </c>
      <c r="E64" s="0" t="n">
        <f aca="false">SUMPRODUCT(('4-Gün-Saat-Derslik Atama'!$A$7:$A$456="Seçildi")*('4-Gün-Saat-Derslik Atama'!$D$7:$D$456=3)*('4-Gün-Saat-Derslik Atama'!$I$7:$I$456="Perşembe")*('4-Gün-Saat-Derslik Atama'!$M$7:$M$456&lt;=8)*('4-Gün-Saat-Derslik Atama'!$N$7:$N$456&gt;=8)*(ROW('4-Gün-Saat-Derslik Atama'!$A$7:$A$456)-7+1))</f>
        <v>0</v>
      </c>
      <c r="F64" s="0" t="n">
        <f aca="false">SUMPRODUCT(('4-Gün-Saat-Derslik Atama'!$A$7:$A$456="Seçildi")*('4-Gün-Saat-Derslik Atama'!$D$7:$D$456=3)*('4-Gün-Saat-Derslik Atama'!$I$7:$I$456="Cuma")*('4-Gün-Saat-Derslik Atama'!$M$7:$M$456&lt;=8)*('4-Gün-Saat-Derslik Atama'!$N$7:$N$456&gt;=8)*(ROW('4-Gün-Saat-Derslik Atama'!$A$7:$A$456)-7+1))</f>
        <v>0</v>
      </c>
    </row>
    <row r="65" customFormat="false" ht="15" hidden="false" customHeight="false" outlineLevel="0" collapsed="false">
      <c r="A65" s="0" t="s">
        <v>332</v>
      </c>
      <c r="B65" s="0" t="n">
        <f aca="false">SUMPRODUCT(('4-Gün-Saat-Derslik Atama'!$A$7:$A$456="Seçildi")*('4-Gün-Saat-Derslik Atama'!$D$7:$D$456=3)*('4-Gün-Saat-Derslik Atama'!$I$7:$I$456="Pazartesi")*('4-Gün-Saat-Derslik Atama'!$M$7:$M$456&lt;=9)*('4-Gün-Saat-Derslik Atama'!$N$7:$N$456&gt;=9)*(ROW('4-Gün-Saat-Derslik Atama'!$A$7:$A$456)-7+1))</f>
        <v>0</v>
      </c>
      <c r="C65" s="0" t="n">
        <f aca="false">SUMPRODUCT(('4-Gün-Saat-Derslik Atama'!$A$7:$A$456="Seçildi")*('4-Gün-Saat-Derslik Atama'!$D$7:$D$456=3)*('4-Gün-Saat-Derslik Atama'!$I$7:$I$456="Salı")*('4-Gün-Saat-Derslik Atama'!$M$7:$M$456&lt;=9)*('4-Gün-Saat-Derslik Atama'!$N$7:$N$456&gt;=9)*(ROW('4-Gün-Saat-Derslik Atama'!$A$7:$A$456)-7+1))</f>
        <v>0</v>
      </c>
      <c r="D65" s="0" t="n">
        <f aca="false">SUMPRODUCT(('4-Gün-Saat-Derslik Atama'!$A$7:$A$456="Seçildi")*('4-Gün-Saat-Derslik Atama'!$D$7:$D$456=3)*('4-Gün-Saat-Derslik Atama'!$I$7:$I$456="Çarşamba")*('4-Gün-Saat-Derslik Atama'!$M$7:$M$456&lt;=9)*('4-Gün-Saat-Derslik Atama'!$N$7:$N$456&gt;=9)*(ROW('4-Gün-Saat-Derslik Atama'!$A$7:$A$456)-7+1))</f>
        <v>0</v>
      </c>
      <c r="E65" s="0" t="n">
        <f aca="false">SUMPRODUCT(('4-Gün-Saat-Derslik Atama'!$A$7:$A$456="Seçildi")*('4-Gün-Saat-Derslik Atama'!$D$7:$D$456=3)*('4-Gün-Saat-Derslik Atama'!$I$7:$I$456="Perşembe")*('4-Gün-Saat-Derslik Atama'!$M$7:$M$456&lt;=9)*('4-Gün-Saat-Derslik Atama'!$N$7:$N$456&gt;=9)*(ROW('4-Gün-Saat-Derslik Atama'!$A$7:$A$456)-7+1))</f>
        <v>0</v>
      </c>
      <c r="F65" s="0" t="n">
        <f aca="false">SUMPRODUCT(('4-Gün-Saat-Derslik Atama'!$A$7:$A$456="Seçildi")*('4-Gün-Saat-Derslik Atama'!$D$7:$D$456=3)*('4-Gün-Saat-Derslik Atama'!$I$7:$I$456="Cuma")*('4-Gün-Saat-Derslik Atama'!$M$7:$M$456&lt;=9)*('4-Gün-Saat-Derslik Atama'!$N$7:$N$456&gt;=9)*(ROW('4-Gün-Saat-Derslik Atama'!$A$7:$A$456)-7+1))</f>
        <v>0</v>
      </c>
    </row>
    <row r="66" customFormat="false" ht="15" hidden="false" customHeight="false" outlineLevel="0" collapsed="false">
      <c r="A66" s="0" t="s">
        <v>333</v>
      </c>
      <c r="B66" s="0" t="n">
        <f aca="false">SUMPRODUCT(('4-Gün-Saat-Derslik Atama'!$A$7:$A$456="Seçildi")*('4-Gün-Saat-Derslik Atama'!$D$7:$D$456=3)*('4-Gün-Saat-Derslik Atama'!$I$7:$I$456="Pazartesi")*('4-Gün-Saat-Derslik Atama'!$M$7:$M$456&lt;=10)*('4-Gün-Saat-Derslik Atama'!$N$7:$N$456&gt;=10)*(ROW('4-Gün-Saat-Derslik Atama'!$A$7:$A$456)-7+1))</f>
        <v>0</v>
      </c>
      <c r="C66" s="0" t="n">
        <f aca="false">SUMPRODUCT(('4-Gün-Saat-Derslik Atama'!$A$7:$A$456="Seçildi")*('4-Gün-Saat-Derslik Atama'!$D$7:$D$456=3)*('4-Gün-Saat-Derslik Atama'!$I$7:$I$456="Salı")*('4-Gün-Saat-Derslik Atama'!$M$7:$M$456&lt;=10)*('4-Gün-Saat-Derslik Atama'!$N$7:$N$456&gt;=10)*(ROW('4-Gün-Saat-Derslik Atama'!$A$7:$A$456)-7+1))</f>
        <v>0</v>
      </c>
      <c r="D66" s="0" t="n">
        <f aca="false">SUMPRODUCT(('4-Gün-Saat-Derslik Atama'!$A$7:$A$456="Seçildi")*('4-Gün-Saat-Derslik Atama'!$D$7:$D$456=3)*('4-Gün-Saat-Derslik Atama'!$I$7:$I$456="Çarşamba")*('4-Gün-Saat-Derslik Atama'!$M$7:$M$456&lt;=10)*('4-Gün-Saat-Derslik Atama'!$N$7:$N$456&gt;=10)*(ROW('4-Gün-Saat-Derslik Atama'!$A$7:$A$456)-7+1))</f>
        <v>0</v>
      </c>
      <c r="E66" s="0" t="n">
        <f aca="false">SUMPRODUCT(('4-Gün-Saat-Derslik Atama'!$A$7:$A$456="Seçildi")*('4-Gün-Saat-Derslik Atama'!$D$7:$D$456=3)*('4-Gün-Saat-Derslik Atama'!$I$7:$I$456="Perşembe")*('4-Gün-Saat-Derslik Atama'!$M$7:$M$456&lt;=10)*('4-Gün-Saat-Derslik Atama'!$N$7:$N$456&gt;=10)*(ROW('4-Gün-Saat-Derslik Atama'!$A$7:$A$456)-7+1))</f>
        <v>0</v>
      </c>
      <c r="F66" s="0" t="n">
        <f aca="false">SUMPRODUCT(('4-Gün-Saat-Derslik Atama'!$A$7:$A$456="Seçildi")*('4-Gün-Saat-Derslik Atama'!$D$7:$D$456=3)*('4-Gün-Saat-Derslik Atama'!$I$7:$I$456="Cuma")*('4-Gün-Saat-Derslik Atama'!$M$7:$M$456&lt;=10)*('4-Gün-Saat-Derslik Atama'!$N$7:$N$456&gt;=10)*(ROW('4-Gün-Saat-Derslik Atama'!$A$7:$A$456)-7+1))</f>
        <v>0</v>
      </c>
    </row>
    <row r="67" customFormat="false" ht="15" hidden="false" customHeight="false" outlineLevel="0" collapsed="false">
      <c r="A67" s="0" t="s">
        <v>339</v>
      </c>
    </row>
    <row r="68" customFormat="false" ht="15" hidden="false" customHeight="false" outlineLevel="0" collapsed="false">
      <c r="A68" s="0" t="s">
        <v>324</v>
      </c>
      <c r="B68" s="0" t="n">
        <f aca="false">SUMPRODUCT(('4-Gün-Saat-Derslik Atama'!$A$7:$A$456="Seçildi")*('4-Gün-Saat-Derslik Atama'!$D$7:$D$456=4)*('4-Gün-Saat-Derslik Atama'!$I$7:$I$456="Pazartesi")*('4-Gün-Saat-Derslik Atama'!$M$7:$M$456&lt;=1)*('4-Gün-Saat-Derslik Atama'!$N$7:$N$456&gt;=1))</f>
        <v>0</v>
      </c>
      <c r="C68" s="0" t="n">
        <f aca="false">SUMPRODUCT(('4-Gün-Saat-Derslik Atama'!$A$7:$A$456="Seçildi")*('4-Gün-Saat-Derslik Atama'!$D$7:$D$456=4)*('4-Gün-Saat-Derslik Atama'!$I$7:$I$456="Salı")*('4-Gün-Saat-Derslik Atama'!$M$7:$M$456&lt;=1)*('4-Gün-Saat-Derslik Atama'!$N$7:$N$456&gt;=1))</f>
        <v>0</v>
      </c>
      <c r="D68" s="0" t="n">
        <f aca="false">SUMPRODUCT(('4-Gün-Saat-Derslik Atama'!$A$7:$A$456="Seçildi")*('4-Gün-Saat-Derslik Atama'!$D$7:$D$456=4)*('4-Gün-Saat-Derslik Atama'!$I$7:$I$456="Çarşamba")*('4-Gün-Saat-Derslik Atama'!$M$7:$M$456&lt;=1)*('4-Gün-Saat-Derslik Atama'!$N$7:$N$456&gt;=1))</f>
        <v>0</v>
      </c>
      <c r="E68" s="0" t="n">
        <f aca="false">SUMPRODUCT(('4-Gün-Saat-Derslik Atama'!$A$7:$A$456="Seçildi")*('4-Gün-Saat-Derslik Atama'!$D$7:$D$456=4)*('4-Gün-Saat-Derslik Atama'!$I$7:$I$456="Perşembe")*('4-Gün-Saat-Derslik Atama'!$M$7:$M$456&lt;=1)*('4-Gün-Saat-Derslik Atama'!$N$7:$N$456&gt;=1))</f>
        <v>0</v>
      </c>
      <c r="F68" s="0" t="n">
        <f aca="false">SUMPRODUCT(('4-Gün-Saat-Derslik Atama'!$A$7:$A$456="Seçildi")*('4-Gün-Saat-Derslik Atama'!$D$7:$D$456=4)*('4-Gün-Saat-Derslik Atama'!$I$7:$I$456="Cuma")*('4-Gün-Saat-Derslik Atama'!$M$7:$M$456&lt;=1)*('4-Gün-Saat-Derslik Atama'!$N$7:$N$456&gt;=1))</f>
        <v>0</v>
      </c>
    </row>
    <row r="69" customFormat="false" ht="15" hidden="false" customHeight="false" outlineLevel="0" collapsed="false">
      <c r="A69" s="0" t="s">
        <v>325</v>
      </c>
      <c r="B69" s="0" t="n">
        <f aca="false">SUMPRODUCT(('4-Gün-Saat-Derslik Atama'!$A$7:$A$456="Seçildi")*('4-Gün-Saat-Derslik Atama'!$D$7:$D$456=4)*('4-Gün-Saat-Derslik Atama'!$I$7:$I$456="Pazartesi")*('4-Gün-Saat-Derslik Atama'!$M$7:$M$456&lt;=2)*('4-Gün-Saat-Derslik Atama'!$N$7:$N$456&gt;=2))</f>
        <v>0</v>
      </c>
      <c r="C69" s="0" t="n">
        <f aca="false">SUMPRODUCT(('4-Gün-Saat-Derslik Atama'!$A$7:$A$456="Seçildi")*('4-Gün-Saat-Derslik Atama'!$D$7:$D$456=4)*('4-Gün-Saat-Derslik Atama'!$I$7:$I$456="Salı")*('4-Gün-Saat-Derslik Atama'!$M$7:$M$456&lt;=2)*('4-Gün-Saat-Derslik Atama'!$N$7:$N$456&gt;=2))</f>
        <v>0</v>
      </c>
      <c r="D69" s="0" t="n">
        <f aca="false">SUMPRODUCT(('4-Gün-Saat-Derslik Atama'!$A$7:$A$456="Seçildi")*('4-Gün-Saat-Derslik Atama'!$D$7:$D$456=4)*('4-Gün-Saat-Derslik Atama'!$I$7:$I$456="Çarşamba")*('4-Gün-Saat-Derslik Atama'!$M$7:$M$456&lt;=2)*('4-Gün-Saat-Derslik Atama'!$N$7:$N$456&gt;=2))</f>
        <v>0</v>
      </c>
      <c r="E69" s="0" t="n">
        <f aca="false">SUMPRODUCT(('4-Gün-Saat-Derslik Atama'!$A$7:$A$456="Seçildi")*('4-Gün-Saat-Derslik Atama'!$D$7:$D$456=4)*('4-Gün-Saat-Derslik Atama'!$I$7:$I$456="Perşembe")*('4-Gün-Saat-Derslik Atama'!$M$7:$M$456&lt;=2)*('4-Gün-Saat-Derslik Atama'!$N$7:$N$456&gt;=2))</f>
        <v>0</v>
      </c>
      <c r="F69" s="0" t="n">
        <f aca="false">SUMPRODUCT(('4-Gün-Saat-Derslik Atama'!$A$7:$A$456="Seçildi")*('4-Gün-Saat-Derslik Atama'!$D$7:$D$456=4)*('4-Gün-Saat-Derslik Atama'!$I$7:$I$456="Cuma")*('4-Gün-Saat-Derslik Atama'!$M$7:$M$456&lt;=2)*('4-Gün-Saat-Derslik Atama'!$N$7:$N$456&gt;=2))</f>
        <v>0</v>
      </c>
    </row>
    <row r="70" customFormat="false" ht="15" hidden="false" customHeight="false" outlineLevel="0" collapsed="false">
      <c r="A70" s="0" t="s">
        <v>326</v>
      </c>
      <c r="B70" s="0" t="n">
        <f aca="false">SUMPRODUCT(('4-Gün-Saat-Derslik Atama'!$A$7:$A$456="Seçildi")*('4-Gün-Saat-Derslik Atama'!$D$7:$D$456=4)*('4-Gün-Saat-Derslik Atama'!$I$7:$I$456="Pazartesi")*('4-Gün-Saat-Derslik Atama'!$M$7:$M$456&lt;=3)*('4-Gün-Saat-Derslik Atama'!$N$7:$N$456&gt;=3))</f>
        <v>0</v>
      </c>
      <c r="C70" s="0" t="n">
        <f aca="false">SUMPRODUCT(('4-Gün-Saat-Derslik Atama'!$A$7:$A$456="Seçildi")*('4-Gün-Saat-Derslik Atama'!$D$7:$D$456=4)*('4-Gün-Saat-Derslik Atama'!$I$7:$I$456="Salı")*('4-Gün-Saat-Derslik Atama'!$M$7:$M$456&lt;=3)*('4-Gün-Saat-Derslik Atama'!$N$7:$N$456&gt;=3))</f>
        <v>0</v>
      </c>
      <c r="D70" s="0" t="n">
        <f aca="false">SUMPRODUCT(('4-Gün-Saat-Derslik Atama'!$A$7:$A$456="Seçildi")*('4-Gün-Saat-Derslik Atama'!$D$7:$D$456=4)*('4-Gün-Saat-Derslik Atama'!$I$7:$I$456="Çarşamba")*('4-Gün-Saat-Derslik Atama'!$M$7:$M$456&lt;=3)*('4-Gün-Saat-Derslik Atama'!$N$7:$N$456&gt;=3))</f>
        <v>0</v>
      </c>
      <c r="E70" s="0" t="n">
        <f aca="false">SUMPRODUCT(('4-Gün-Saat-Derslik Atama'!$A$7:$A$456="Seçildi")*('4-Gün-Saat-Derslik Atama'!$D$7:$D$456=4)*('4-Gün-Saat-Derslik Atama'!$I$7:$I$456="Perşembe")*('4-Gün-Saat-Derslik Atama'!$M$7:$M$456&lt;=3)*('4-Gün-Saat-Derslik Atama'!$N$7:$N$456&gt;=3))</f>
        <v>0</v>
      </c>
      <c r="F70" s="0" t="n">
        <f aca="false">SUMPRODUCT(('4-Gün-Saat-Derslik Atama'!$A$7:$A$456="Seçildi")*('4-Gün-Saat-Derslik Atama'!$D$7:$D$456=4)*('4-Gün-Saat-Derslik Atama'!$I$7:$I$456="Cuma")*('4-Gün-Saat-Derslik Atama'!$M$7:$M$456&lt;=3)*('4-Gün-Saat-Derslik Atama'!$N$7:$N$456&gt;=3))</f>
        <v>0</v>
      </c>
    </row>
    <row r="71" customFormat="false" ht="15" hidden="false" customHeight="false" outlineLevel="0" collapsed="false">
      <c r="A71" s="0" t="s">
        <v>327</v>
      </c>
      <c r="B71" s="0" t="n">
        <f aca="false">SUMPRODUCT(('4-Gün-Saat-Derslik Atama'!$A$7:$A$456="Seçildi")*('4-Gün-Saat-Derslik Atama'!$D$7:$D$456=4)*('4-Gün-Saat-Derslik Atama'!$I$7:$I$456="Pazartesi")*('4-Gün-Saat-Derslik Atama'!$M$7:$M$456&lt;=4)*('4-Gün-Saat-Derslik Atama'!$N$7:$N$456&gt;=4))</f>
        <v>0</v>
      </c>
      <c r="C71" s="0" t="n">
        <f aca="false">SUMPRODUCT(('4-Gün-Saat-Derslik Atama'!$A$7:$A$456="Seçildi")*('4-Gün-Saat-Derslik Atama'!$D$7:$D$456=4)*('4-Gün-Saat-Derslik Atama'!$I$7:$I$456="Salı")*('4-Gün-Saat-Derslik Atama'!$M$7:$M$456&lt;=4)*('4-Gün-Saat-Derslik Atama'!$N$7:$N$456&gt;=4))</f>
        <v>0</v>
      </c>
      <c r="D71" s="0" t="n">
        <f aca="false">SUMPRODUCT(('4-Gün-Saat-Derslik Atama'!$A$7:$A$456="Seçildi")*('4-Gün-Saat-Derslik Atama'!$D$7:$D$456=4)*('4-Gün-Saat-Derslik Atama'!$I$7:$I$456="Çarşamba")*('4-Gün-Saat-Derslik Atama'!$M$7:$M$456&lt;=4)*('4-Gün-Saat-Derslik Atama'!$N$7:$N$456&gt;=4))</f>
        <v>0</v>
      </c>
      <c r="E71" s="0" t="n">
        <f aca="false">SUMPRODUCT(('4-Gün-Saat-Derslik Atama'!$A$7:$A$456="Seçildi")*('4-Gün-Saat-Derslik Atama'!$D$7:$D$456=4)*('4-Gün-Saat-Derslik Atama'!$I$7:$I$456="Perşembe")*('4-Gün-Saat-Derslik Atama'!$M$7:$M$456&lt;=4)*('4-Gün-Saat-Derslik Atama'!$N$7:$N$456&gt;=4))</f>
        <v>0</v>
      </c>
      <c r="F71" s="0" t="n">
        <f aca="false">SUMPRODUCT(('4-Gün-Saat-Derslik Atama'!$A$7:$A$456="Seçildi")*('4-Gün-Saat-Derslik Atama'!$D$7:$D$456=4)*('4-Gün-Saat-Derslik Atama'!$I$7:$I$456="Cuma")*('4-Gün-Saat-Derslik Atama'!$M$7:$M$456&lt;=4)*('4-Gün-Saat-Derslik Atama'!$N$7:$N$456&gt;=4))</f>
        <v>0</v>
      </c>
    </row>
    <row r="72" customFormat="false" ht="15" hidden="false" customHeight="false" outlineLevel="0" collapsed="false">
      <c r="A72" s="0" t="s">
        <v>328</v>
      </c>
      <c r="B72" s="0" t="n">
        <f aca="false">SUMPRODUCT(('4-Gün-Saat-Derslik Atama'!$A$7:$A$456="Seçildi")*('4-Gün-Saat-Derslik Atama'!$D$7:$D$456=4)*('4-Gün-Saat-Derslik Atama'!$I$7:$I$456="Pazartesi")*('4-Gün-Saat-Derslik Atama'!$M$7:$M$456&lt;=5)*('4-Gün-Saat-Derslik Atama'!$N$7:$N$456&gt;=5))</f>
        <v>0</v>
      </c>
      <c r="C72" s="0" t="n">
        <f aca="false">SUMPRODUCT(('4-Gün-Saat-Derslik Atama'!$A$7:$A$456="Seçildi")*('4-Gün-Saat-Derslik Atama'!$D$7:$D$456=4)*('4-Gün-Saat-Derslik Atama'!$I$7:$I$456="Salı")*('4-Gün-Saat-Derslik Atama'!$M$7:$M$456&lt;=5)*('4-Gün-Saat-Derslik Atama'!$N$7:$N$456&gt;=5))</f>
        <v>0</v>
      </c>
      <c r="D72" s="0" t="n">
        <f aca="false">SUMPRODUCT(('4-Gün-Saat-Derslik Atama'!$A$7:$A$456="Seçildi")*('4-Gün-Saat-Derslik Atama'!$D$7:$D$456=4)*('4-Gün-Saat-Derslik Atama'!$I$7:$I$456="Çarşamba")*('4-Gün-Saat-Derslik Atama'!$M$7:$M$456&lt;=5)*('4-Gün-Saat-Derslik Atama'!$N$7:$N$456&gt;=5))</f>
        <v>0</v>
      </c>
      <c r="E72" s="0" t="n">
        <f aca="false">SUMPRODUCT(('4-Gün-Saat-Derslik Atama'!$A$7:$A$456="Seçildi")*('4-Gün-Saat-Derslik Atama'!$D$7:$D$456=4)*('4-Gün-Saat-Derslik Atama'!$I$7:$I$456="Perşembe")*('4-Gün-Saat-Derslik Atama'!$M$7:$M$456&lt;=5)*('4-Gün-Saat-Derslik Atama'!$N$7:$N$456&gt;=5))</f>
        <v>0</v>
      </c>
      <c r="F72" s="0" t="n">
        <f aca="false">SUMPRODUCT(('4-Gün-Saat-Derslik Atama'!$A$7:$A$456="Seçildi")*('4-Gün-Saat-Derslik Atama'!$D$7:$D$456=4)*('4-Gün-Saat-Derslik Atama'!$I$7:$I$456="Cuma")*('4-Gün-Saat-Derslik Atama'!$M$7:$M$456&lt;=5)*('4-Gün-Saat-Derslik Atama'!$N$7:$N$456&gt;=5))</f>
        <v>0</v>
      </c>
    </row>
    <row r="73" customFormat="false" ht="15" hidden="false" customHeight="false" outlineLevel="0" collapsed="false">
      <c r="A73" s="0" t="s">
        <v>329</v>
      </c>
      <c r="B73" s="0" t="n">
        <f aca="false">SUMPRODUCT(('4-Gün-Saat-Derslik Atama'!$A$7:$A$456="Seçildi")*('4-Gün-Saat-Derslik Atama'!$D$7:$D$456=4)*('4-Gün-Saat-Derslik Atama'!$I$7:$I$456="Pazartesi")*('4-Gün-Saat-Derslik Atama'!$M$7:$M$456&lt;=6)*('4-Gün-Saat-Derslik Atama'!$N$7:$N$456&gt;=6))</f>
        <v>0</v>
      </c>
      <c r="C73" s="0" t="n">
        <f aca="false">SUMPRODUCT(('4-Gün-Saat-Derslik Atama'!$A$7:$A$456="Seçildi")*('4-Gün-Saat-Derslik Atama'!$D$7:$D$456=4)*('4-Gün-Saat-Derslik Atama'!$I$7:$I$456="Salı")*('4-Gün-Saat-Derslik Atama'!$M$7:$M$456&lt;=6)*('4-Gün-Saat-Derslik Atama'!$N$7:$N$456&gt;=6))</f>
        <v>0</v>
      </c>
      <c r="D73" s="0" t="n">
        <f aca="false">SUMPRODUCT(('4-Gün-Saat-Derslik Atama'!$A$7:$A$456="Seçildi")*('4-Gün-Saat-Derslik Atama'!$D$7:$D$456=4)*('4-Gün-Saat-Derslik Atama'!$I$7:$I$456="Çarşamba")*('4-Gün-Saat-Derslik Atama'!$M$7:$M$456&lt;=6)*('4-Gün-Saat-Derslik Atama'!$N$7:$N$456&gt;=6))</f>
        <v>0</v>
      </c>
      <c r="E73" s="0" t="n">
        <f aca="false">SUMPRODUCT(('4-Gün-Saat-Derslik Atama'!$A$7:$A$456="Seçildi")*('4-Gün-Saat-Derslik Atama'!$D$7:$D$456=4)*('4-Gün-Saat-Derslik Atama'!$I$7:$I$456="Perşembe")*('4-Gün-Saat-Derslik Atama'!$M$7:$M$456&lt;=6)*('4-Gün-Saat-Derslik Atama'!$N$7:$N$456&gt;=6))</f>
        <v>0</v>
      </c>
      <c r="F73" s="0" t="n">
        <f aca="false">SUMPRODUCT(('4-Gün-Saat-Derslik Atama'!$A$7:$A$456="Seçildi")*('4-Gün-Saat-Derslik Atama'!$D$7:$D$456=4)*('4-Gün-Saat-Derslik Atama'!$I$7:$I$456="Cuma")*('4-Gün-Saat-Derslik Atama'!$M$7:$M$456&lt;=6)*('4-Gün-Saat-Derslik Atama'!$N$7:$N$456&gt;=6))</f>
        <v>0</v>
      </c>
    </row>
    <row r="74" customFormat="false" ht="15" hidden="false" customHeight="false" outlineLevel="0" collapsed="false">
      <c r="A74" s="0" t="s">
        <v>330</v>
      </c>
      <c r="B74" s="0" t="n">
        <f aca="false">SUMPRODUCT(('4-Gün-Saat-Derslik Atama'!$A$7:$A$456="Seçildi")*('4-Gün-Saat-Derslik Atama'!$D$7:$D$456=4)*('4-Gün-Saat-Derslik Atama'!$I$7:$I$456="Pazartesi")*('4-Gün-Saat-Derslik Atama'!$M$7:$M$456&lt;=7)*('4-Gün-Saat-Derslik Atama'!$N$7:$N$456&gt;=7))</f>
        <v>0</v>
      </c>
      <c r="C74" s="0" t="n">
        <f aca="false">SUMPRODUCT(('4-Gün-Saat-Derslik Atama'!$A$7:$A$456="Seçildi")*('4-Gün-Saat-Derslik Atama'!$D$7:$D$456=4)*('4-Gün-Saat-Derslik Atama'!$I$7:$I$456="Salı")*('4-Gün-Saat-Derslik Atama'!$M$7:$M$456&lt;=7)*('4-Gün-Saat-Derslik Atama'!$N$7:$N$456&gt;=7))</f>
        <v>0</v>
      </c>
      <c r="D74" s="0" t="n">
        <f aca="false">SUMPRODUCT(('4-Gün-Saat-Derslik Atama'!$A$7:$A$456="Seçildi")*('4-Gün-Saat-Derslik Atama'!$D$7:$D$456=4)*('4-Gün-Saat-Derslik Atama'!$I$7:$I$456="Çarşamba")*('4-Gün-Saat-Derslik Atama'!$M$7:$M$456&lt;=7)*('4-Gün-Saat-Derslik Atama'!$N$7:$N$456&gt;=7))</f>
        <v>0</v>
      </c>
      <c r="E74" s="0" t="n">
        <f aca="false">SUMPRODUCT(('4-Gün-Saat-Derslik Atama'!$A$7:$A$456="Seçildi")*('4-Gün-Saat-Derslik Atama'!$D$7:$D$456=4)*('4-Gün-Saat-Derslik Atama'!$I$7:$I$456="Perşembe")*('4-Gün-Saat-Derslik Atama'!$M$7:$M$456&lt;=7)*('4-Gün-Saat-Derslik Atama'!$N$7:$N$456&gt;=7))</f>
        <v>0</v>
      </c>
      <c r="F74" s="0" t="n">
        <f aca="false">SUMPRODUCT(('4-Gün-Saat-Derslik Atama'!$A$7:$A$456="Seçildi")*('4-Gün-Saat-Derslik Atama'!$D$7:$D$456=4)*('4-Gün-Saat-Derslik Atama'!$I$7:$I$456="Cuma")*('4-Gün-Saat-Derslik Atama'!$M$7:$M$456&lt;=7)*('4-Gün-Saat-Derslik Atama'!$N$7:$N$456&gt;=7))</f>
        <v>0</v>
      </c>
    </row>
    <row r="75" customFormat="false" ht="15" hidden="false" customHeight="false" outlineLevel="0" collapsed="false">
      <c r="A75" s="0" t="s">
        <v>331</v>
      </c>
      <c r="B75" s="0" t="n">
        <f aca="false">SUMPRODUCT(('4-Gün-Saat-Derslik Atama'!$A$7:$A$456="Seçildi")*('4-Gün-Saat-Derslik Atama'!$D$7:$D$456=4)*('4-Gün-Saat-Derslik Atama'!$I$7:$I$456="Pazartesi")*('4-Gün-Saat-Derslik Atama'!$M$7:$M$456&lt;=8)*('4-Gün-Saat-Derslik Atama'!$N$7:$N$456&gt;=8))</f>
        <v>0</v>
      </c>
      <c r="C75" s="0" t="n">
        <f aca="false">SUMPRODUCT(('4-Gün-Saat-Derslik Atama'!$A$7:$A$456="Seçildi")*('4-Gün-Saat-Derslik Atama'!$D$7:$D$456=4)*('4-Gün-Saat-Derslik Atama'!$I$7:$I$456="Salı")*('4-Gün-Saat-Derslik Atama'!$M$7:$M$456&lt;=8)*('4-Gün-Saat-Derslik Atama'!$N$7:$N$456&gt;=8))</f>
        <v>0</v>
      </c>
      <c r="D75" s="0" t="n">
        <f aca="false">SUMPRODUCT(('4-Gün-Saat-Derslik Atama'!$A$7:$A$456="Seçildi")*('4-Gün-Saat-Derslik Atama'!$D$7:$D$456=4)*('4-Gün-Saat-Derslik Atama'!$I$7:$I$456="Çarşamba")*('4-Gün-Saat-Derslik Atama'!$M$7:$M$456&lt;=8)*('4-Gün-Saat-Derslik Atama'!$N$7:$N$456&gt;=8))</f>
        <v>0</v>
      </c>
      <c r="E75" s="0" t="n">
        <f aca="false">SUMPRODUCT(('4-Gün-Saat-Derslik Atama'!$A$7:$A$456="Seçildi")*('4-Gün-Saat-Derslik Atama'!$D$7:$D$456=4)*('4-Gün-Saat-Derslik Atama'!$I$7:$I$456="Perşembe")*('4-Gün-Saat-Derslik Atama'!$M$7:$M$456&lt;=8)*('4-Gün-Saat-Derslik Atama'!$N$7:$N$456&gt;=8))</f>
        <v>0</v>
      </c>
      <c r="F75" s="0" t="n">
        <f aca="false">SUMPRODUCT(('4-Gün-Saat-Derslik Atama'!$A$7:$A$456="Seçildi")*('4-Gün-Saat-Derslik Atama'!$D$7:$D$456=4)*('4-Gün-Saat-Derslik Atama'!$I$7:$I$456="Cuma")*('4-Gün-Saat-Derslik Atama'!$M$7:$M$456&lt;=8)*('4-Gün-Saat-Derslik Atama'!$N$7:$N$456&gt;=8))</f>
        <v>0</v>
      </c>
    </row>
    <row r="76" customFormat="false" ht="15" hidden="false" customHeight="false" outlineLevel="0" collapsed="false">
      <c r="A76" s="0" t="s">
        <v>332</v>
      </c>
      <c r="B76" s="0" t="n">
        <f aca="false">SUMPRODUCT(('4-Gün-Saat-Derslik Atama'!$A$7:$A$456="Seçildi")*('4-Gün-Saat-Derslik Atama'!$D$7:$D$456=4)*('4-Gün-Saat-Derslik Atama'!$I$7:$I$456="Pazartesi")*('4-Gün-Saat-Derslik Atama'!$M$7:$M$456&lt;=9)*('4-Gün-Saat-Derslik Atama'!$N$7:$N$456&gt;=9))</f>
        <v>0</v>
      </c>
      <c r="C76" s="0" t="n">
        <f aca="false">SUMPRODUCT(('4-Gün-Saat-Derslik Atama'!$A$7:$A$456="Seçildi")*('4-Gün-Saat-Derslik Atama'!$D$7:$D$456=4)*('4-Gün-Saat-Derslik Atama'!$I$7:$I$456="Salı")*('4-Gün-Saat-Derslik Atama'!$M$7:$M$456&lt;=9)*('4-Gün-Saat-Derslik Atama'!$N$7:$N$456&gt;=9))</f>
        <v>0</v>
      </c>
      <c r="D76" s="0" t="n">
        <f aca="false">SUMPRODUCT(('4-Gün-Saat-Derslik Atama'!$A$7:$A$456="Seçildi")*('4-Gün-Saat-Derslik Atama'!$D$7:$D$456=4)*('4-Gün-Saat-Derslik Atama'!$I$7:$I$456="Çarşamba")*('4-Gün-Saat-Derslik Atama'!$M$7:$M$456&lt;=9)*('4-Gün-Saat-Derslik Atama'!$N$7:$N$456&gt;=9))</f>
        <v>0</v>
      </c>
      <c r="E76" s="0" t="n">
        <f aca="false">SUMPRODUCT(('4-Gün-Saat-Derslik Atama'!$A$7:$A$456="Seçildi")*('4-Gün-Saat-Derslik Atama'!$D$7:$D$456=4)*('4-Gün-Saat-Derslik Atama'!$I$7:$I$456="Perşembe")*('4-Gün-Saat-Derslik Atama'!$M$7:$M$456&lt;=9)*('4-Gün-Saat-Derslik Atama'!$N$7:$N$456&gt;=9))</f>
        <v>0</v>
      </c>
      <c r="F76" s="0" t="n">
        <f aca="false">SUMPRODUCT(('4-Gün-Saat-Derslik Atama'!$A$7:$A$456="Seçildi")*('4-Gün-Saat-Derslik Atama'!$D$7:$D$456=4)*('4-Gün-Saat-Derslik Atama'!$I$7:$I$456="Cuma")*('4-Gün-Saat-Derslik Atama'!$M$7:$M$456&lt;=9)*('4-Gün-Saat-Derslik Atama'!$N$7:$N$456&gt;=9))</f>
        <v>0</v>
      </c>
    </row>
    <row r="77" customFormat="false" ht="15" hidden="false" customHeight="false" outlineLevel="0" collapsed="false">
      <c r="A77" s="0" t="s">
        <v>333</v>
      </c>
      <c r="B77" s="0" t="n">
        <f aca="false">SUMPRODUCT(('4-Gün-Saat-Derslik Atama'!$A$7:$A$456="Seçildi")*('4-Gün-Saat-Derslik Atama'!$D$7:$D$456=4)*('4-Gün-Saat-Derslik Atama'!$I$7:$I$456="Pazartesi")*('4-Gün-Saat-Derslik Atama'!$M$7:$M$456&lt;=10)*('4-Gün-Saat-Derslik Atama'!$N$7:$N$456&gt;=10))</f>
        <v>0</v>
      </c>
      <c r="C77" s="0" t="n">
        <f aca="false">SUMPRODUCT(('4-Gün-Saat-Derslik Atama'!$A$7:$A$456="Seçildi")*('4-Gün-Saat-Derslik Atama'!$D$7:$D$456=4)*('4-Gün-Saat-Derslik Atama'!$I$7:$I$456="Salı")*('4-Gün-Saat-Derslik Atama'!$M$7:$M$456&lt;=10)*('4-Gün-Saat-Derslik Atama'!$N$7:$N$456&gt;=10))</f>
        <v>0</v>
      </c>
      <c r="D77" s="0" t="n">
        <f aca="false">SUMPRODUCT(('4-Gün-Saat-Derslik Atama'!$A$7:$A$456="Seçildi")*('4-Gün-Saat-Derslik Atama'!$D$7:$D$456=4)*('4-Gün-Saat-Derslik Atama'!$I$7:$I$456="Çarşamba")*('4-Gün-Saat-Derslik Atama'!$M$7:$M$456&lt;=10)*('4-Gün-Saat-Derslik Atama'!$N$7:$N$456&gt;=10))</f>
        <v>0</v>
      </c>
      <c r="E77" s="0" t="n">
        <f aca="false">SUMPRODUCT(('4-Gün-Saat-Derslik Atama'!$A$7:$A$456="Seçildi")*('4-Gün-Saat-Derslik Atama'!$D$7:$D$456=4)*('4-Gün-Saat-Derslik Atama'!$I$7:$I$456="Perşembe")*('4-Gün-Saat-Derslik Atama'!$M$7:$M$456&lt;=10)*('4-Gün-Saat-Derslik Atama'!$N$7:$N$456&gt;=10))</f>
        <v>0</v>
      </c>
      <c r="F77" s="0" t="n">
        <f aca="false">SUMPRODUCT(('4-Gün-Saat-Derslik Atama'!$A$7:$A$456="Seçildi")*('4-Gün-Saat-Derslik Atama'!$D$7:$D$456=4)*('4-Gün-Saat-Derslik Atama'!$I$7:$I$456="Cuma")*('4-Gün-Saat-Derslik Atama'!$M$7:$M$456&lt;=10)*('4-Gün-Saat-Derslik Atama'!$N$7:$N$456&gt;=10))</f>
        <v>0</v>
      </c>
    </row>
    <row r="78" customFormat="false" ht="15" hidden="false" customHeight="false" outlineLevel="0" collapsed="false">
      <c r="A78" s="0" t="s">
        <v>340</v>
      </c>
    </row>
    <row r="79" customFormat="false" ht="15" hidden="false" customHeight="false" outlineLevel="0" collapsed="false">
      <c r="A79" s="0" t="s">
        <v>324</v>
      </c>
      <c r="B79" s="0" t="n">
        <f aca="false">SUMPRODUCT(('4-Gün-Saat-Derslik Atama'!$A$7:$A$456="Seçildi")*('4-Gün-Saat-Derslik Atama'!$D$7:$D$456=4)*('4-Gün-Saat-Derslik Atama'!$I$7:$I$456="Pazartesi")*('4-Gün-Saat-Derslik Atama'!$M$7:$M$456&lt;=1)*('4-Gün-Saat-Derslik Atama'!$N$7:$N$456&gt;=1)*(ROW('4-Gün-Saat-Derslik Atama'!$A$7:$A$456)-7+1))</f>
        <v>0</v>
      </c>
      <c r="C79" s="0" t="n">
        <f aca="false">SUMPRODUCT(('4-Gün-Saat-Derslik Atama'!$A$7:$A$456="Seçildi")*('4-Gün-Saat-Derslik Atama'!$D$7:$D$456=4)*('4-Gün-Saat-Derslik Atama'!$I$7:$I$456="Salı")*('4-Gün-Saat-Derslik Atama'!$M$7:$M$456&lt;=1)*('4-Gün-Saat-Derslik Atama'!$N$7:$N$456&gt;=1)*(ROW('4-Gün-Saat-Derslik Atama'!$A$7:$A$456)-7+1))</f>
        <v>0</v>
      </c>
      <c r="D79" s="0" t="n">
        <f aca="false">SUMPRODUCT(('4-Gün-Saat-Derslik Atama'!$A$7:$A$456="Seçildi")*('4-Gün-Saat-Derslik Atama'!$D$7:$D$456=4)*('4-Gün-Saat-Derslik Atama'!$I$7:$I$456="Çarşamba")*('4-Gün-Saat-Derslik Atama'!$M$7:$M$456&lt;=1)*('4-Gün-Saat-Derslik Atama'!$N$7:$N$456&gt;=1)*(ROW('4-Gün-Saat-Derslik Atama'!$A$7:$A$456)-7+1))</f>
        <v>0</v>
      </c>
      <c r="E79" s="0" t="n">
        <f aca="false">SUMPRODUCT(('4-Gün-Saat-Derslik Atama'!$A$7:$A$456="Seçildi")*('4-Gün-Saat-Derslik Atama'!$D$7:$D$456=4)*('4-Gün-Saat-Derslik Atama'!$I$7:$I$456="Perşembe")*('4-Gün-Saat-Derslik Atama'!$M$7:$M$456&lt;=1)*('4-Gün-Saat-Derslik Atama'!$N$7:$N$456&gt;=1)*(ROW('4-Gün-Saat-Derslik Atama'!$A$7:$A$456)-7+1))</f>
        <v>0</v>
      </c>
      <c r="F79" s="0" t="n">
        <f aca="false">SUMPRODUCT(('4-Gün-Saat-Derslik Atama'!$A$7:$A$456="Seçildi")*('4-Gün-Saat-Derslik Atama'!$D$7:$D$456=4)*('4-Gün-Saat-Derslik Atama'!$I$7:$I$456="Cuma")*('4-Gün-Saat-Derslik Atama'!$M$7:$M$456&lt;=1)*('4-Gün-Saat-Derslik Atama'!$N$7:$N$456&gt;=1)*(ROW('4-Gün-Saat-Derslik Atama'!$A$7:$A$456)-7+1))</f>
        <v>0</v>
      </c>
    </row>
    <row r="80" customFormat="false" ht="15" hidden="false" customHeight="false" outlineLevel="0" collapsed="false">
      <c r="A80" s="0" t="s">
        <v>325</v>
      </c>
      <c r="B80" s="0" t="n">
        <f aca="false">SUMPRODUCT(('4-Gün-Saat-Derslik Atama'!$A$7:$A$456="Seçildi")*('4-Gün-Saat-Derslik Atama'!$D$7:$D$456=4)*('4-Gün-Saat-Derslik Atama'!$I$7:$I$456="Pazartesi")*('4-Gün-Saat-Derslik Atama'!$M$7:$M$456&lt;=2)*('4-Gün-Saat-Derslik Atama'!$N$7:$N$456&gt;=2)*(ROW('4-Gün-Saat-Derslik Atama'!$A$7:$A$456)-7+1))</f>
        <v>0</v>
      </c>
      <c r="C80" s="0" t="n">
        <f aca="false">SUMPRODUCT(('4-Gün-Saat-Derslik Atama'!$A$7:$A$456="Seçildi")*('4-Gün-Saat-Derslik Atama'!$D$7:$D$456=4)*('4-Gün-Saat-Derslik Atama'!$I$7:$I$456="Salı")*('4-Gün-Saat-Derslik Atama'!$M$7:$M$456&lt;=2)*('4-Gün-Saat-Derslik Atama'!$N$7:$N$456&gt;=2)*(ROW('4-Gün-Saat-Derslik Atama'!$A$7:$A$456)-7+1))</f>
        <v>0</v>
      </c>
      <c r="D80" s="0" t="n">
        <f aca="false">SUMPRODUCT(('4-Gün-Saat-Derslik Atama'!$A$7:$A$456="Seçildi")*('4-Gün-Saat-Derslik Atama'!$D$7:$D$456=4)*('4-Gün-Saat-Derslik Atama'!$I$7:$I$456="Çarşamba")*('4-Gün-Saat-Derslik Atama'!$M$7:$M$456&lt;=2)*('4-Gün-Saat-Derslik Atama'!$N$7:$N$456&gt;=2)*(ROW('4-Gün-Saat-Derslik Atama'!$A$7:$A$456)-7+1))</f>
        <v>0</v>
      </c>
      <c r="E80" s="0" t="n">
        <f aca="false">SUMPRODUCT(('4-Gün-Saat-Derslik Atama'!$A$7:$A$456="Seçildi")*('4-Gün-Saat-Derslik Atama'!$D$7:$D$456=4)*('4-Gün-Saat-Derslik Atama'!$I$7:$I$456="Perşembe")*('4-Gün-Saat-Derslik Atama'!$M$7:$M$456&lt;=2)*('4-Gün-Saat-Derslik Atama'!$N$7:$N$456&gt;=2)*(ROW('4-Gün-Saat-Derslik Atama'!$A$7:$A$456)-7+1))</f>
        <v>0</v>
      </c>
      <c r="F80" s="0" t="n">
        <f aca="false">SUMPRODUCT(('4-Gün-Saat-Derslik Atama'!$A$7:$A$456="Seçildi")*('4-Gün-Saat-Derslik Atama'!$D$7:$D$456=4)*('4-Gün-Saat-Derslik Atama'!$I$7:$I$456="Cuma")*('4-Gün-Saat-Derslik Atama'!$M$7:$M$456&lt;=2)*('4-Gün-Saat-Derslik Atama'!$N$7:$N$456&gt;=2)*(ROW('4-Gün-Saat-Derslik Atama'!$A$7:$A$456)-7+1))</f>
        <v>0</v>
      </c>
    </row>
    <row r="81" customFormat="false" ht="15" hidden="false" customHeight="false" outlineLevel="0" collapsed="false">
      <c r="A81" s="0" t="s">
        <v>326</v>
      </c>
      <c r="B81" s="0" t="n">
        <f aca="false">SUMPRODUCT(('4-Gün-Saat-Derslik Atama'!$A$7:$A$456="Seçildi")*('4-Gün-Saat-Derslik Atama'!$D$7:$D$456=4)*('4-Gün-Saat-Derslik Atama'!$I$7:$I$456="Pazartesi")*('4-Gün-Saat-Derslik Atama'!$M$7:$M$456&lt;=3)*('4-Gün-Saat-Derslik Atama'!$N$7:$N$456&gt;=3)*(ROW('4-Gün-Saat-Derslik Atama'!$A$7:$A$456)-7+1))</f>
        <v>0</v>
      </c>
      <c r="C81" s="0" t="n">
        <f aca="false">SUMPRODUCT(('4-Gün-Saat-Derslik Atama'!$A$7:$A$456="Seçildi")*('4-Gün-Saat-Derslik Atama'!$D$7:$D$456=4)*('4-Gün-Saat-Derslik Atama'!$I$7:$I$456="Salı")*('4-Gün-Saat-Derslik Atama'!$M$7:$M$456&lt;=3)*('4-Gün-Saat-Derslik Atama'!$N$7:$N$456&gt;=3)*(ROW('4-Gün-Saat-Derslik Atama'!$A$7:$A$456)-7+1))</f>
        <v>0</v>
      </c>
      <c r="D81" s="0" t="n">
        <f aca="false">SUMPRODUCT(('4-Gün-Saat-Derslik Atama'!$A$7:$A$456="Seçildi")*('4-Gün-Saat-Derslik Atama'!$D$7:$D$456=4)*('4-Gün-Saat-Derslik Atama'!$I$7:$I$456="Çarşamba")*('4-Gün-Saat-Derslik Atama'!$M$7:$M$456&lt;=3)*('4-Gün-Saat-Derslik Atama'!$N$7:$N$456&gt;=3)*(ROW('4-Gün-Saat-Derslik Atama'!$A$7:$A$456)-7+1))</f>
        <v>0</v>
      </c>
      <c r="E81" s="0" t="n">
        <f aca="false">SUMPRODUCT(('4-Gün-Saat-Derslik Atama'!$A$7:$A$456="Seçildi")*('4-Gün-Saat-Derslik Atama'!$D$7:$D$456=4)*('4-Gün-Saat-Derslik Atama'!$I$7:$I$456="Perşembe")*('4-Gün-Saat-Derslik Atama'!$M$7:$M$456&lt;=3)*('4-Gün-Saat-Derslik Atama'!$N$7:$N$456&gt;=3)*(ROW('4-Gün-Saat-Derslik Atama'!$A$7:$A$456)-7+1))</f>
        <v>0</v>
      </c>
      <c r="F81" s="0" t="n">
        <f aca="false">SUMPRODUCT(('4-Gün-Saat-Derslik Atama'!$A$7:$A$456="Seçildi")*('4-Gün-Saat-Derslik Atama'!$D$7:$D$456=4)*('4-Gün-Saat-Derslik Atama'!$I$7:$I$456="Cuma")*('4-Gün-Saat-Derslik Atama'!$M$7:$M$456&lt;=3)*('4-Gün-Saat-Derslik Atama'!$N$7:$N$456&gt;=3)*(ROW('4-Gün-Saat-Derslik Atama'!$A$7:$A$456)-7+1))</f>
        <v>0</v>
      </c>
    </row>
    <row r="82" customFormat="false" ht="15" hidden="false" customHeight="false" outlineLevel="0" collapsed="false">
      <c r="A82" s="0" t="s">
        <v>327</v>
      </c>
      <c r="B82" s="0" t="n">
        <f aca="false">SUMPRODUCT(('4-Gün-Saat-Derslik Atama'!$A$7:$A$456="Seçildi")*('4-Gün-Saat-Derslik Atama'!$D$7:$D$456=4)*('4-Gün-Saat-Derslik Atama'!$I$7:$I$456="Pazartesi")*('4-Gün-Saat-Derslik Atama'!$M$7:$M$456&lt;=4)*('4-Gün-Saat-Derslik Atama'!$N$7:$N$456&gt;=4)*(ROW('4-Gün-Saat-Derslik Atama'!$A$7:$A$456)-7+1))</f>
        <v>0</v>
      </c>
      <c r="C82" s="0" t="n">
        <f aca="false">SUMPRODUCT(('4-Gün-Saat-Derslik Atama'!$A$7:$A$456="Seçildi")*('4-Gün-Saat-Derslik Atama'!$D$7:$D$456=4)*('4-Gün-Saat-Derslik Atama'!$I$7:$I$456="Salı")*('4-Gün-Saat-Derslik Atama'!$M$7:$M$456&lt;=4)*('4-Gün-Saat-Derslik Atama'!$N$7:$N$456&gt;=4)*(ROW('4-Gün-Saat-Derslik Atama'!$A$7:$A$456)-7+1))</f>
        <v>0</v>
      </c>
      <c r="D82" s="0" t="n">
        <f aca="false">SUMPRODUCT(('4-Gün-Saat-Derslik Atama'!$A$7:$A$456="Seçildi")*('4-Gün-Saat-Derslik Atama'!$D$7:$D$456=4)*('4-Gün-Saat-Derslik Atama'!$I$7:$I$456="Çarşamba")*('4-Gün-Saat-Derslik Atama'!$M$7:$M$456&lt;=4)*('4-Gün-Saat-Derslik Atama'!$N$7:$N$456&gt;=4)*(ROW('4-Gün-Saat-Derslik Atama'!$A$7:$A$456)-7+1))</f>
        <v>0</v>
      </c>
      <c r="E82" s="0" t="n">
        <f aca="false">SUMPRODUCT(('4-Gün-Saat-Derslik Atama'!$A$7:$A$456="Seçildi")*('4-Gün-Saat-Derslik Atama'!$D$7:$D$456=4)*('4-Gün-Saat-Derslik Atama'!$I$7:$I$456="Perşembe")*('4-Gün-Saat-Derslik Atama'!$M$7:$M$456&lt;=4)*('4-Gün-Saat-Derslik Atama'!$N$7:$N$456&gt;=4)*(ROW('4-Gün-Saat-Derslik Atama'!$A$7:$A$456)-7+1))</f>
        <v>0</v>
      </c>
      <c r="F82" s="0" t="n">
        <f aca="false">SUMPRODUCT(('4-Gün-Saat-Derslik Atama'!$A$7:$A$456="Seçildi")*('4-Gün-Saat-Derslik Atama'!$D$7:$D$456=4)*('4-Gün-Saat-Derslik Atama'!$I$7:$I$456="Cuma")*('4-Gün-Saat-Derslik Atama'!$M$7:$M$456&lt;=4)*('4-Gün-Saat-Derslik Atama'!$N$7:$N$456&gt;=4)*(ROW('4-Gün-Saat-Derslik Atama'!$A$7:$A$456)-7+1))</f>
        <v>0</v>
      </c>
    </row>
    <row r="83" customFormat="false" ht="15" hidden="false" customHeight="false" outlineLevel="0" collapsed="false">
      <c r="A83" s="0" t="s">
        <v>328</v>
      </c>
      <c r="B83" s="0" t="n">
        <f aca="false">SUMPRODUCT(('4-Gün-Saat-Derslik Atama'!$A$7:$A$456="Seçildi")*('4-Gün-Saat-Derslik Atama'!$D$7:$D$456=4)*('4-Gün-Saat-Derslik Atama'!$I$7:$I$456="Pazartesi")*('4-Gün-Saat-Derslik Atama'!$M$7:$M$456&lt;=5)*('4-Gün-Saat-Derslik Atama'!$N$7:$N$456&gt;=5)*(ROW('4-Gün-Saat-Derslik Atama'!$A$7:$A$456)-7+1))</f>
        <v>0</v>
      </c>
      <c r="C83" s="0" t="n">
        <f aca="false">SUMPRODUCT(('4-Gün-Saat-Derslik Atama'!$A$7:$A$456="Seçildi")*('4-Gün-Saat-Derslik Atama'!$D$7:$D$456=4)*('4-Gün-Saat-Derslik Atama'!$I$7:$I$456="Salı")*('4-Gün-Saat-Derslik Atama'!$M$7:$M$456&lt;=5)*('4-Gün-Saat-Derslik Atama'!$N$7:$N$456&gt;=5)*(ROW('4-Gün-Saat-Derslik Atama'!$A$7:$A$456)-7+1))</f>
        <v>0</v>
      </c>
      <c r="D83" s="0" t="n">
        <f aca="false">SUMPRODUCT(('4-Gün-Saat-Derslik Atama'!$A$7:$A$456="Seçildi")*('4-Gün-Saat-Derslik Atama'!$D$7:$D$456=4)*('4-Gün-Saat-Derslik Atama'!$I$7:$I$456="Çarşamba")*('4-Gün-Saat-Derslik Atama'!$M$7:$M$456&lt;=5)*('4-Gün-Saat-Derslik Atama'!$N$7:$N$456&gt;=5)*(ROW('4-Gün-Saat-Derslik Atama'!$A$7:$A$456)-7+1))</f>
        <v>0</v>
      </c>
      <c r="E83" s="0" t="n">
        <f aca="false">SUMPRODUCT(('4-Gün-Saat-Derslik Atama'!$A$7:$A$456="Seçildi")*('4-Gün-Saat-Derslik Atama'!$D$7:$D$456=4)*('4-Gün-Saat-Derslik Atama'!$I$7:$I$456="Perşembe")*('4-Gün-Saat-Derslik Atama'!$M$7:$M$456&lt;=5)*('4-Gün-Saat-Derslik Atama'!$N$7:$N$456&gt;=5)*(ROW('4-Gün-Saat-Derslik Atama'!$A$7:$A$456)-7+1))</f>
        <v>0</v>
      </c>
      <c r="F83" s="0" t="n">
        <f aca="false">SUMPRODUCT(('4-Gün-Saat-Derslik Atama'!$A$7:$A$456="Seçildi")*('4-Gün-Saat-Derslik Atama'!$D$7:$D$456=4)*('4-Gün-Saat-Derslik Atama'!$I$7:$I$456="Cuma")*('4-Gün-Saat-Derslik Atama'!$M$7:$M$456&lt;=5)*('4-Gün-Saat-Derslik Atama'!$N$7:$N$456&gt;=5)*(ROW('4-Gün-Saat-Derslik Atama'!$A$7:$A$456)-7+1))</f>
        <v>0</v>
      </c>
    </row>
    <row r="84" customFormat="false" ht="15" hidden="false" customHeight="false" outlineLevel="0" collapsed="false">
      <c r="A84" s="0" t="s">
        <v>329</v>
      </c>
      <c r="B84" s="0" t="n">
        <f aca="false">SUMPRODUCT(('4-Gün-Saat-Derslik Atama'!$A$7:$A$456="Seçildi")*('4-Gün-Saat-Derslik Atama'!$D$7:$D$456=4)*('4-Gün-Saat-Derslik Atama'!$I$7:$I$456="Pazartesi")*('4-Gün-Saat-Derslik Atama'!$M$7:$M$456&lt;=6)*('4-Gün-Saat-Derslik Atama'!$N$7:$N$456&gt;=6)*(ROW('4-Gün-Saat-Derslik Atama'!$A$7:$A$456)-7+1))</f>
        <v>0</v>
      </c>
      <c r="C84" s="0" t="n">
        <f aca="false">SUMPRODUCT(('4-Gün-Saat-Derslik Atama'!$A$7:$A$456="Seçildi")*('4-Gün-Saat-Derslik Atama'!$D$7:$D$456=4)*('4-Gün-Saat-Derslik Atama'!$I$7:$I$456="Salı")*('4-Gün-Saat-Derslik Atama'!$M$7:$M$456&lt;=6)*('4-Gün-Saat-Derslik Atama'!$N$7:$N$456&gt;=6)*(ROW('4-Gün-Saat-Derslik Atama'!$A$7:$A$456)-7+1))</f>
        <v>0</v>
      </c>
      <c r="D84" s="0" t="n">
        <f aca="false">SUMPRODUCT(('4-Gün-Saat-Derslik Atama'!$A$7:$A$456="Seçildi")*('4-Gün-Saat-Derslik Atama'!$D$7:$D$456=4)*('4-Gün-Saat-Derslik Atama'!$I$7:$I$456="Çarşamba")*('4-Gün-Saat-Derslik Atama'!$M$7:$M$456&lt;=6)*('4-Gün-Saat-Derslik Atama'!$N$7:$N$456&gt;=6)*(ROW('4-Gün-Saat-Derslik Atama'!$A$7:$A$456)-7+1))</f>
        <v>0</v>
      </c>
      <c r="E84" s="0" t="n">
        <f aca="false">SUMPRODUCT(('4-Gün-Saat-Derslik Atama'!$A$7:$A$456="Seçildi")*('4-Gün-Saat-Derslik Atama'!$D$7:$D$456=4)*('4-Gün-Saat-Derslik Atama'!$I$7:$I$456="Perşembe")*('4-Gün-Saat-Derslik Atama'!$M$7:$M$456&lt;=6)*('4-Gün-Saat-Derslik Atama'!$N$7:$N$456&gt;=6)*(ROW('4-Gün-Saat-Derslik Atama'!$A$7:$A$456)-7+1))</f>
        <v>0</v>
      </c>
      <c r="F84" s="0" t="n">
        <f aca="false">SUMPRODUCT(('4-Gün-Saat-Derslik Atama'!$A$7:$A$456="Seçildi")*('4-Gün-Saat-Derslik Atama'!$D$7:$D$456=4)*('4-Gün-Saat-Derslik Atama'!$I$7:$I$456="Cuma")*('4-Gün-Saat-Derslik Atama'!$M$7:$M$456&lt;=6)*('4-Gün-Saat-Derslik Atama'!$N$7:$N$456&gt;=6)*(ROW('4-Gün-Saat-Derslik Atama'!$A$7:$A$456)-7+1))</f>
        <v>0</v>
      </c>
    </row>
    <row r="85" customFormat="false" ht="15" hidden="false" customHeight="false" outlineLevel="0" collapsed="false">
      <c r="A85" s="0" t="s">
        <v>330</v>
      </c>
      <c r="B85" s="0" t="n">
        <f aca="false">SUMPRODUCT(('4-Gün-Saat-Derslik Atama'!$A$7:$A$456="Seçildi")*('4-Gün-Saat-Derslik Atama'!$D$7:$D$456=4)*('4-Gün-Saat-Derslik Atama'!$I$7:$I$456="Pazartesi")*('4-Gün-Saat-Derslik Atama'!$M$7:$M$456&lt;=7)*('4-Gün-Saat-Derslik Atama'!$N$7:$N$456&gt;=7)*(ROW('4-Gün-Saat-Derslik Atama'!$A$7:$A$456)-7+1))</f>
        <v>0</v>
      </c>
      <c r="C85" s="0" t="n">
        <f aca="false">SUMPRODUCT(('4-Gün-Saat-Derslik Atama'!$A$7:$A$456="Seçildi")*('4-Gün-Saat-Derslik Atama'!$D$7:$D$456=4)*('4-Gün-Saat-Derslik Atama'!$I$7:$I$456="Salı")*('4-Gün-Saat-Derslik Atama'!$M$7:$M$456&lt;=7)*('4-Gün-Saat-Derslik Atama'!$N$7:$N$456&gt;=7)*(ROW('4-Gün-Saat-Derslik Atama'!$A$7:$A$456)-7+1))</f>
        <v>0</v>
      </c>
      <c r="D85" s="0" t="n">
        <f aca="false">SUMPRODUCT(('4-Gün-Saat-Derslik Atama'!$A$7:$A$456="Seçildi")*('4-Gün-Saat-Derslik Atama'!$D$7:$D$456=4)*('4-Gün-Saat-Derslik Atama'!$I$7:$I$456="Çarşamba")*('4-Gün-Saat-Derslik Atama'!$M$7:$M$456&lt;=7)*('4-Gün-Saat-Derslik Atama'!$N$7:$N$456&gt;=7)*(ROW('4-Gün-Saat-Derslik Atama'!$A$7:$A$456)-7+1))</f>
        <v>0</v>
      </c>
      <c r="E85" s="0" t="n">
        <f aca="false">SUMPRODUCT(('4-Gün-Saat-Derslik Atama'!$A$7:$A$456="Seçildi")*('4-Gün-Saat-Derslik Atama'!$D$7:$D$456=4)*('4-Gün-Saat-Derslik Atama'!$I$7:$I$456="Perşembe")*('4-Gün-Saat-Derslik Atama'!$M$7:$M$456&lt;=7)*('4-Gün-Saat-Derslik Atama'!$N$7:$N$456&gt;=7)*(ROW('4-Gün-Saat-Derslik Atama'!$A$7:$A$456)-7+1))</f>
        <v>0</v>
      </c>
      <c r="F85" s="0" t="n">
        <f aca="false">SUMPRODUCT(('4-Gün-Saat-Derslik Atama'!$A$7:$A$456="Seçildi")*('4-Gün-Saat-Derslik Atama'!$D$7:$D$456=4)*('4-Gün-Saat-Derslik Atama'!$I$7:$I$456="Cuma")*('4-Gün-Saat-Derslik Atama'!$M$7:$M$456&lt;=7)*('4-Gün-Saat-Derslik Atama'!$N$7:$N$456&gt;=7)*(ROW('4-Gün-Saat-Derslik Atama'!$A$7:$A$456)-7+1))</f>
        <v>0</v>
      </c>
    </row>
    <row r="86" customFormat="false" ht="15" hidden="false" customHeight="false" outlineLevel="0" collapsed="false">
      <c r="A86" s="0" t="s">
        <v>331</v>
      </c>
      <c r="B86" s="0" t="n">
        <f aca="false">SUMPRODUCT(('4-Gün-Saat-Derslik Atama'!$A$7:$A$456="Seçildi")*('4-Gün-Saat-Derslik Atama'!$D$7:$D$456=4)*('4-Gün-Saat-Derslik Atama'!$I$7:$I$456="Pazartesi")*('4-Gün-Saat-Derslik Atama'!$M$7:$M$456&lt;=8)*('4-Gün-Saat-Derslik Atama'!$N$7:$N$456&gt;=8)*(ROW('4-Gün-Saat-Derslik Atama'!$A$7:$A$456)-7+1))</f>
        <v>0</v>
      </c>
      <c r="C86" s="0" t="n">
        <f aca="false">SUMPRODUCT(('4-Gün-Saat-Derslik Atama'!$A$7:$A$456="Seçildi")*('4-Gün-Saat-Derslik Atama'!$D$7:$D$456=4)*('4-Gün-Saat-Derslik Atama'!$I$7:$I$456="Salı")*('4-Gün-Saat-Derslik Atama'!$M$7:$M$456&lt;=8)*('4-Gün-Saat-Derslik Atama'!$N$7:$N$456&gt;=8)*(ROW('4-Gün-Saat-Derslik Atama'!$A$7:$A$456)-7+1))</f>
        <v>0</v>
      </c>
      <c r="D86" s="0" t="n">
        <f aca="false">SUMPRODUCT(('4-Gün-Saat-Derslik Atama'!$A$7:$A$456="Seçildi")*('4-Gün-Saat-Derslik Atama'!$D$7:$D$456=4)*('4-Gün-Saat-Derslik Atama'!$I$7:$I$456="Çarşamba")*('4-Gün-Saat-Derslik Atama'!$M$7:$M$456&lt;=8)*('4-Gün-Saat-Derslik Atama'!$N$7:$N$456&gt;=8)*(ROW('4-Gün-Saat-Derslik Atama'!$A$7:$A$456)-7+1))</f>
        <v>0</v>
      </c>
      <c r="E86" s="0" t="n">
        <f aca="false">SUMPRODUCT(('4-Gün-Saat-Derslik Atama'!$A$7:$A$456="Seçildi")*('4-Gün-Saat-Derslik Atama'!$D$7:$D$456=4)*('4-Gün-Saat-Derslik Atama'!$I$7:$I$456="Perşembe")*('4-Gün-Saat-Derslik Atama'!$M$7:$M$456&lt;=8)*('4-Gün-Saat-Derslik Atama'!$N$7:$N$456&gt;=8)*(ROW('4-Gün-Saat-Derslik Atama'!$A$7:$A$456)-7+1))</f>
        <v>0</v>
      </c>
      <c r="F86" s="0" t="n">
        <f aca="false">SUMPRODUCT(('4-Gün-Saat-Derslik Atama'!$A$7:$A$456="Seçildi")*('4-Gün-Saat-Derslik Atama'!$D$7:$D$456=4)*('4-Gün-Saat-Derslik Atama'!$I$7:$I$456="Cuma")*('4-Gün-Saat-Derslik Atama'!$M$7:$M$456&lt;=8)*('4-Gün-Saat-Derslik Atama'!$N$7:$N$456&gt;=8)*(ROW('4-Gün-Saat-Derslik Atama'!$A$7:$A$456)-7+1))</f>
        <v>0</v>
      </c>
    </row>
    <row r="87" customFormat="false" ht="15" hidden="false" customHeight="false" outlineLevel="0" collapsed="false">
      <c r="A87" s="0" t="s">
        <v>332</v>
      </c>
      <c r="B87" s="0" t="n">
        <f aca="false">SUMPRODUCT(('4-Gün-Saat-Derslik Atama'!$A$7:$A$456="Seçildi")*('4-Gün-Saat-Derslik Atama'!$D$7:$D$456=4)*('4-Gün-Saat-Derslik Atama'!$I$7:$I$456="Pazartesi")*('4-Gün-Saat-Derslik Atama'!$M$7:$M$456&lt;=9)*('4-Gün-Saat-Derslik Atama'!$N$7:$N$456&gt;=9)*(ROW('4-Gün-Saat-Derslik Atama'!$A$7:$A$456)-7+1))</f>
        <v>0</v>
      </c>
      <c r="C87" s="0" t="n">
        <f aca="false">SUMPRODUCT(('4-Gün-Saat-Derslik Atama'!$A$7:$A$456="Seçildi")*('4-Gün-Saat-Derslik Atama'!$D$7:$D$456=4)*('4-Gün-Saat-Derslik Atama'!$I$7:$I$456="Salı")*('4-Gün-Saat-Derslik Atama'!$M$7:$M$456&lt;=9)*('4-Gün-Saat-Derslik Atama'!$N$7:$N$456&gt;=9)*(ROW('4-Gün-Saat-Derslik Atama'!$A$7:$A$456)-7+1))</f>
        <v>0</v>
      </c>
      <c r="D87" s="0" t="n">
        <f aca="false">SUMPRODUCT(('4-Gün-Saat-Derslik Atama'!$A$7:$A$456="Seçildi")*('4-Gün-Saat-Derslik Atama'!$D$7:$D$456=4)*('4-Gün-Saat-Derslik Atama'!$I$7:$I$456="Çarşamba")*('4-Gün-Saat-Derslik Atama'!$M$7:$M$456&lt;=9)*('4-Gün-Saat-Derslik Atama'!$N$7:$N$456&gt;=9)*(ROW('4-Gün-Saat-Derslik Atama'!$A$7:$A$456)-7+1))</f>
        <v>0</v>
      </c>
      <c r="E87" s="0" t="n">
        <f aca="false">SUMPRODUCT(('4-Gün-Saat-Derslik Atama'!$A$7:$A$456="Seçildi")*('4-Gün-Saat-Derslik Atama'!$D$7:$D$456=4)*('4-Gün-Saat-Derslik Atama'!$I$7:$I$456="Perşembe")*('4-Gün-Saat-Derslik Atama'!$M$7:$M$456&lt;=9)*('4-Gün-Saat-Derslik Atama'!$N$7:$N$456&gt;=9)*(ROW('4-Gün-Saat-Derslik Atama'!$A$7:$A$456)-7+1))</f>
        <v>0</v>
      </c>
      <c r="F87" s="0" t="n">
        <f aca="false">SUMPRODUCT(('4-Gün-Saat-Derslik Atama'!$A$7:$A$456="Seçildi")*('4-Gün-Saat-Derslik Atama'!$D$7:$D$456=4)*('4-Gün-Saat-Derslik Atama'!$I$7:$I$456="Cuma")*('4-Gün-Saat-Derslik Atama'!$M$7:$M$456&lt;=9)*('4-Gün-Saat-Derslik Atama'!$N$7:$N$456&gt;=9)*(ROW('4-Gün-Saat-Derslik Atama'!$A$7:$A$456)-7+1))</f>
        <v>0</v>
      </c>
    </row>
    <row r="88" customFormat="false" ht="15" hidden="false" customHeight="false" outlineLevel="0" collapsed="false">
      <c r="A88" s="0" t="s">
        <v>333</v>
      </c>
      <c r="B88" s="0" t="n">
        <f aca="false">SUMPRODUCT(('4-Gün-Saat-Derslik Atama'!$A$7:$A$456="Seçildi")*('4-Gün-Saat-Derslik Atama'!$D$7:$D$456=4)*('4-Gün-Saat-Derslik Atama'!$I$7:$I$456="Pazartesi")*('4-Gün-Saat-Derslik Atama'!$M$7:$M$456&lt;=10)*('4-Gün-Saat-Derslik Atama'!$N$7:$N$456&gt;=10)*(ROW('4-Gün-Saat-Derslik Atama'!$A$7:$A$456)-7+1))</f>
        <v>0</v>
      </c>
      <c r="C88" s="0" t="n">
        <f aca="false">SUMPRODUCT(('4-Gün-Saat-Derslik Atama'!$A$7:$A$456="Seçildi")*('4-Gün-Saat-Derslik Atama'!$D$7:$D$456=4)*('4-Gün-Saat-Derslik Atama'!$I$7:$I$456="Salı")*('4-Gün-Saat-Derslik Atama'!$M$7:$M$456&lt;=10)*('4-Gün-Saat-Derslik Atama'!$N$7:$N$456&gt;=10)*(ROW('4-Gün-Saat-Derslik Atama'!$A$7:$A$456)-7+1))</f>
        <v>0</v>
      </c>
      <c r="D88" s="0" t="n">
        <f aca="false">SUMPRODUCT(('4-Gün-Saat-Derslik Atama'!$A$7:$A$456="Seçildi")*('4-Gün-Saat-Derslik Atama'!$D$7:$D$456=4)*('4-Gün-Saat-Derslik Atama'!$I$7:$I$456="Çarşamba")*('4-Gün-Saat-Derslik Atama'!$M$7:$M$456&lt;=10)*('4-Gün-Saat-Derslik Atama'!$N$7:$N$456&gt;=10)*(ROW('4-Gün-Saat-Derslik Atama'!$A$7:$A$456)-7+1))</f>
        <v>0</v>
      </c>
      <c r="E88" s="0" t="n">
        <f aca="false">SUMPRODUCT(('4-Gün-Saat-Derslik Atama'!$A$7:$A$456="Seçildi")*('4-Gün-Saat-Derslik Atama'!$D$7:$D$456=4)*('4-Gün-Saat-Derslik Atama'!$I$7:$I$456="Perşembe")*('4-Gün-Saat-Derslik Atama'!$M$7:$M$456&lt;=10)*('4-Gün-Saat-Derslik Atama'!$N$7:$N$456&gt;=10)*(ROW('4-Gün-Saat-Derslik Atama'!$A$7:$A$456)-7+1))</f>
        <v>0</v>
      </c>
      <c r="F88" s="0" t="n">
        <f aca="false">SUMPRODUCT(('4-Gün-Saat-Derslik Atama'!$A$7:$A$456="Seçildi")*('4-Gün-Saat-Derslik Atama'!$D$7:$D$456=4)*('4-Gün-Saat-Derslik Atama'!$I$7:$I$456="Cuma")*('4-Gün-Saat-Derslik Atama'!$M$7:$M$456&lt;=10)*('4-Gün-Saat-Derslik Atama'!$N$7:$N$456&gt;=10)*(ROW('4-Gün-Saat-Derslik Atama'!$A$7:$A$456)-7+1))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324F"/>
    <pageSetUpPr fitToPage="tru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6" min="2" style="0" width="30"/>
  </cols>
  <sheetData>
    <row r="1" customFormat="false" ht="24" hidden="false" customHeight="true" outlineLevel="0" collapsed="false">
      <c r="A1" s="30" t="s">
        <v>341</v>
      </c>
      <c r="B1" s="30"/>
      <c r="C1" s="30"/>
      <c r="D1" s="30"/>
      <c r="E1" s="30"/>
      <c r="F1" s="30"/>
    </row>
    <row r="2" customFormat="false" ht="24" hidden="false" customHeight="true" outlineLevel="0" collapsed="false">
      <c r="A2" s="40" t="s">
        <v>342</v>
      </c>
      <c r="B2" s="40"/>
      <c r="C2" s="40"/>
      <c r="D2" s="40"/>
      <c r="E2" s="40"/>
      <c r="F2" s="40"/>
    </row>
    <row r="3" customFormat="false" ht="24" hidden="false" customHeight="true" outlineLevel="0" collapsed="false">
      <c r="A3" s="30" t="s">
        <v>343</v>
      </c>
      <c r="B3" s="30"/>
      <c r="C3" s="30"/>
      <c r="D3" s="30"/>
      <c r="E3" s="30"/>
      <c r="F3" s="30"/>
    </row>
    <row r="4" customFormat="false" ht="24" hidden="false" customHeight="true" outlineLevel="0" collapsed="false">
      <c r="A4" s="41" t="s">
        <v>344</v>
      </c>
      <c r="B4" s="41"/>
      <c r="C4" s="41"/>
      <c r="D4" s="41"/>
      <c r="E4" s="41"/>
      <c r="F4" s="41"/>
    </row>
    <row r="5" customFormat="false" ht="24" hidden="false" customHeight="true" outlineLevel="0" collapsed="false">
      <c r="A5" s="41" t="s">
        <v>345</v>
      </c>
      <c r="B5" s="41"/>
      <c r="C5" s="41"/>
      <c r="D5" s="41"/>
      <c r="E5" s="41"/>
      <c r="F5" s="41"/>
    </row>
    <row r="6" customFormat="false" ht="27.75" hidden="false" customHeight="true" outlineLevel="0" collapsed="false">
      <c r="A6" s="23" t="s">
        <v>346</v>
      </c>
      <c r="B6" s="23"/>
      <c r="C6" s="23"/>
      <c r="D6" s="23"/>
      <c r="E6" s="23"/>
      <c r="F6" s="23"/>
    </row>
    <row r="7" customFormat="false" ht="24" hidden="false" customHeight="true" outlineLevel="0" collapsed="false">
      <c r="A7" s="42" t="s">
        <v>347</v>
      </c>
      <c r="B7" s="42"/>
      <c r="C7" s="42"/>
      <c r="D7" s="42"/>
      <c r="E7" s="42"/>
      <c r="F7" s="42"/>
    </row>
    <row r="9" customFormat="false" ht="19.5" hidden="false" customHeight="true" outlineLevel="0" collapsed="false">
      <c r="A9" s="16" t="s">
        <v>348</v>
      </c>
      <c r="B9" s="43" t="s">
        <v>349</v>
      </c>
      <c r="C9" s="43" t="s">
        <v>350</v>
      </c>
      <c r="D9" s="43" t="s">
        <v>351</v>
      </c>
      <c r="E9" s="43" t="s">
        <v>352</v>
      </c>
      <c r="F9" s="43" t="s">
        <v>353</v>
      </c>
    </row>
    <row r="10" customFormat="false" ht="45.75" hidden="false" customHeight="true" outlineLevel="0" collapsed="false">
      <c r="A10" s="44" t="s">
        <v>324</v>
      </c>
      <c r="B10" s="45" t="str">
        <f aca="false">IF(_Yardımcı!B2=0,"",IF(_Yardımcı!B2&gt;1,"⚠ ÇAKIŞMA - kontrol edin",INDEX('4-Gün-Saat-Derslik Atama'!$B$7:$B$456,_Yardımcı!B13)&amp;" - "&amp;INDEX('4-Gün-Saat-Derslik Atama'!$C$7:$C$456,_Yardımcı!B13)&amp;CHAR(10)&amp;INDEX('4-Gün-Saat-Derslik Atama'!$G$7:$G$456,_Yardımcı!B13)&amp;CHAR(10)&amp;INDEX('4-Gün-Saat-Derslik Atama'!$L$7:$L$456,_Yardımcı!B13)))</f>
        <v/>
      </c>
      <c r="C10" s="45" t="str">
        <f aca="false">IF(_Yardımcı!C2=0,"",IF(_Yardımcı!C2&gt;1,"⚠ ÇAKIŞMA - kontrol edin",INDEX('4-Gün-Saat-Derslik Atama'!$B$7:$B$456,_Yardımcı!C13)&amp;" - "&amp;INDEX('4-Gün-Saat-Derslik Atama'!$C$7:$C$456,_Yardımcı!C13)&amp;CHAR(10)&amp;INDEX('4-Gün-Saat-Derslik Atama'!$G$7:$G$456,_Yardımcı!C13)&amp;CHAR(10)&amp;INDEX('4-Gün-Saat-Derslik Atama'!$L$7:$L$456,_Yardımcı!C13)))</f>
        <v/>
      </c>
      <c r="D10" s="45" t="str">
        <f aca="false">IF(_Yardımcı!D2=0,"",IF(_Yardımcı!D2&gt;1,"⚠ ÇAKIŞMA - kontrol edin",INDEX('4-Gün-Saat-Derslik Atama'!$B$7:$B$456,_Yardımcı!D13)&amp;" - "&amp;INDEX('4-Gün-Saat-Derslik Atama'!$C$7:$C$456,_Yardımcı!D13)&amp;CHAR(10)&amp;INDEX('4-Gün-Saat-Derslik Atama'!$G$7:$G$456,_Yardımcı!D13)&amp;CHAR(10)&amp;INDEX('4-Gün-Saat-Derslik Atama'!$L$7:$L$456,_Yardımcı!D13)))</f>
        <v/>
      </c>
      <c r="E10" s="45" t="str">
        <f aca="false">IF(_Yardımcı!E2=0,"",IF(_Yardımcı!E2&gt;1,"⚠ ÇAKIŞMA - kontrol edin",INDEX('4-Gün-Saat-Derslik Atama'!$B$7:$B$456,_Yardımcı!E13)&amp;" - "&amp;INDEX('4-Gün-Saat-Derslik Atama'!$C$7:$C$456,_Yardımcı!E13)&amp;CHAR(10)&amp;INDEX('4-Gün-Saat-Derslik Atama'!$G$7:$G$456,_Yardımcı!E13)&amp;CHAR(10)&amp;INDEX('4-Gün-Saat-Derslik Atama'!$L$7:$L$456,_Yardımcı!E13)))</f>
        <v/>
      </c>
      <c r="F10" s="45" t="str">
        <f aca="false">IF(_Yardımcı!F2=0,"",IF(_Yardımcı!F2&gt;1,"⚠ ÇAKIŞMA - kontrol edin",INDEX('4-Gün-Saat-Derslik Atama'!$B$7:$B$456,_Yardımcı!F13)&amp;" - "&amp;INDEX('4-Gün-Saat-Derslik Atama'!$C$7:$C$456,_Yardımcı!F13)&amp;CHAR(10)&amp;INDEX('4-Gün-Saat-Derslik Atama'!$G$7:$G$456,_Yardımcı!F13)&amp;CHAR(10)&amp;INDEX('4-Gün-Saat-Derslik Atama'!$L$7:$L$456,_Yardımcı!F13)))</f>
        <v/>
      </c>
    </row>
    <row r="11" customFormat="false" ht="45.75" hidden="false" customHeight="true" outlineLevel="0" collapsed="false">
      <c r="A11" s="44" t="s">
        <v>325</v>
      </c>
      <c r="B11" s="45" t="str">
        <f aca="false">IF(_Yardımcı!B3=0,"",IF(_Yardımcı!B3&gt;1,"⚠ ÇAKIŞMA - kontrol edin",INDEX('4-Gün-Saat-Derslik Atama'!$B$7:$B$456,_Yardımcı!B14)&amp;" - "&amp;INDEX('4-Gün-Saat-Derslik Atama'!$C$7:$C$456,_Yardımcı!B14)&amp;CHAR(10)&amp;INDEX('4-Gün-Saat-Derslik Atama'!$G$7:$G$456,_Yardımcı!B14)&amp;CHAR(10)&amp;INDEX('4-Gün-Saat-Derslik Atama'!$L$7:$L$456,_Yardımcı!B14)))</f>
        <v/>
      </c>
      <c r="C11" s="45" t="str">
        <f aca="false">IF(_Yardımcı!C3=0,"",IF(_Yardımcı!C3&gt;1,"⚠ ÇAKIŞMA - kontrol edin",INDEX('4-Gün-Saat-Derslik Atama'!$B$7:$B$456,_Yardımcı!C14)&amp;" - "&amp;INDEX('4-Gün-Saat-Derslik Atama'!$C$7:$C$456,_Yardımcı!C14)&amp;CHAR(10)&amp;INDEX('4-Gün-Saat-Derslik Atama'!$G$7:$G$456,_Yardımcı!C14)&amp;CHAR(10)&amp;INDEX('4-Gün-Saat-Derslik Atama'!$L$7:$L$456,_Yardımcı!C14)))</f>
        <v/>
      </c>
      <c r="D11" s="45" t="str">
        <f aca="false">IF(_Yardımcı!D3=0,"",IF(_Yardımcı!D3&gt;1,"⚠ ÇAKIŞMA - kontrol edin",INDEX('4-Gün-Saat-Derslik Atama'!$B$7:$B$456,_Yardımcı!D14)&amp;" - "&amp;INDEX('4-Gün-Saat-Derslik Atama'!$C$7:$C$456,_Yardımcı!D14)&amp;CHAR(10)&amp;INDEX('4-Gün-Saat-Derslik Atama'!$G$7:$G$456,_Yardımcı!D14)&amp;CHAR(10)&amp;INDEX('4-Gün-Saat-Derslik Atama'!$L$7:$L$456,_Yardımcı!D14)))</f>
        <v/>
      </c>
      <c r="E11" s="45" t="str">
        <f aca="false">IF(_Yardımcı!E3=0,"",IF(_Yardımcı!E3&gt;1,"⚠ ÇAKIŞMA - kontrol edin",INDEX('4-Gün-Saat-Derslik Atama'!$B$7:$B$456,_Yardımcı!E14)&amp;" - "&amp;INDEX('4-Gün-Saat-Derslik Atama'!$C$7:$C$456,_Yardımcı!E14)&amp;CHAR(10)&amp;INDEX('4-Gün-Saat-Derslik Atama'!$G$7:$G$456,_Yardımcı!E14)&amp;CHAR(10)&amp;INDEX('4-Gün-Saat-Derslik Atama'!$L$7:$L$456,_Yardımcı!E14)))</f>
        <v/>
      </c>
      <c r="F11" s="45" t="str">
        <f aca="false">IF(_Yardımcı!F3=0,"",IF(_Yardımcı!F3&gt;1,"⚠ ÇAKIŞMA - kontrol edin",INDEX('4-Gün-Saat-Derslik Atama'!$B$7:$B$456,_Yardımcı!F14)&amp;" - "&amp;INDEX('4-Gün-Saat-Derslik Atama'!$C$7:$C$456,_Yardımcı!F14)&amp;CHAR(10)&amp;INDEX('4-Gün-Saat-Derslik Atama'!$G$7:$G$456,_Yardımcı!F14)&amp;CHAR(10)&amp;INDEX('4-Gün-Saat-Derslik Atama'!$L$7:$L$456,_Yardımcı!F14)))</f>
        <v/>
      </c>
    </row>
    <row r="12" customFormat="false" ht="45.75" hidden="false" customHeight="true" outlineLevel="0" collapsed="false">
      <c r="A12" s="44" t="s">
        <v>326</v>
      </c>
      <c r="B12" s="45" t="str">
        <f aca="false">IF(_Yardımcı!B4=0,"",IF(_Yardımcı!B4&gt;1,"⚠ ÇAKIŞMA - kontrol edin",INDEX('4-Gün-Saat-Derslik Atama'!$B$7:$B$456,_Yardımcı!B15)&amp;" - "&amp;INDEX('4-Gün-Saat-Derslik Atama'!$C$7:$C$456,_Yardımcı!B15)&amp;CHAR(10)&amp;INDEX('4-Gün-Saat-Derslik Atama'!$G$7:$G$456,_Yardımcı!B15)&amp;CHAR(10)&amp;INDEX('4-Gün-Saat-Derslik Atama'!$L$7:$L$456,_Yardımcı!B15)))</f>
        <v/>
      </c>
      <c r="C12" s="45" t="str">
        <f aca="false">IF(_Yardımcı!C4=0,"",IF(_Yardımcı!C4&gt;1,"⚠ ÇAKIŞMA - kontrol edin",INDEX('4-Gün-Saat-Derslik Atama'!$B$7:$B$456,_Yardımcı!C15)&amp;" - "&amp;INDEX('4-Gün-Saat-Derslik Atama'!$C$7:$C$456,_Yardımcı!C15)&amp;CHAR(10)&amp;INDEX('4-Gün-Saat-Derslik Atama'!$G$7:$G$456,_Yardımcı!C15)&amp;CHAR(10)&amp;INDEX('4-Gün-Saat-Derslik Atama'!$L$7:$L$456,_Yardımcı!C15)))</f>
        <v/>
      </c>
      <c r="D12" s="45" t="str">
        <f aca="false">IF(_Yardımcı!D4=0,"",IF(_Yardımcı!D4&gt;1,"⚠ ÇAKIŞMA - kontrol edin",INDEX('4-Gün-Saat-Derslik Atama'!$B$7:$B$456,_Yardımcı!D15)&amp;" - "&amp;INDEX('4-Gün-Saat-Derslik Atama'!$C$7:$C$456,_Yardımcı!D15)&amp;CHAR(10)&amp;INDEX('4-Gün-Saat-Derslik Atama'!$G$7:$G$456,_Yardımcı!D15)&amp;CHAR(10)&amp;INDEX('4-Gün-Saat-Derslik Atama'!$L$7:$L$456,_Yardımcı!D15)))</f>
        <v/>
      </c>
      <c r="E12" s="45" t="str">
        <f aca="false">IF(_Yardımcı!E4=0,"",IF(_Yardımcı!E4&gt;1,"⚠ ÇAKIŞMA - kontrol edin",INDEX('4-Gün-Saat-Derslik Atama'!$B$7:$B$456,_Yardımcı!E15)&amp;" - "&amp;INDEX('4-Gün-Saat-Derslik Atama'!$C$7:$C$456,_Yardımcı!E15)&amp;CHAR(10)&amp;INDEX('4-Gün-Saat-Derslik Atama'!$G$7:$G$456,_Yardımcı!E15)&amp;CHAR(10)&amp;INDEX('4-Gün-Saat-Derslik Atama'!$L$7:$L$456,_Yardımcı!E15)))</f>
        <v/>
      </c>
      <c r="F12" s="45" t="str">
        <f aca="false">IF(_Yardımcı!F4=0,"",IF(_Yardımcı!F4&gt;1,"⚠ ÇAKIŞMA - kontrol edin",INDEX('4-Gün-Saat-Derslik Atama'!$B$7:$B$456,_Yardımcı!F15)&amp;" - "&amp;INDEX('4-Gün-Saat-Derslik Atama'!$C$7:$C$456,_Yardımcı!F15)&amp;CHAR(10)&amp;INDEX('4-Gün-Saat-Derslik Atama'!$G$7:$G$456,_Yardımcı!F15)&amp;CHAR(10)&amp;INDEX('4-Gün-Saat-Derslik Atama'!$L$7:$L$456,_Yardımcı!F15)))</f>
        <v/>
      </c>
    </row>
    <row r="13" customFormat="false" ht="45.75" hidden="false" customHeight="true" outlineLevel="0" collapsed="false">
      <c r="A13" s="44" t="s">
        <v>327</v>
      </c>
      <c r="B13" s="45" t="str">
        <f aca="false">IF(_Yardımcı!B5=0,"",IF(_Yardımcı!B5&gt;1,"⚠ ÇAKIŞMA - kontrol edin",INDEX('4-Gün-Saat-Derslik Atama'!$B$7:$B$456,_Yardımcı!B16)&amp;" - "&amp;INDEX('4-Gün-Saat-Derslik Atama'!$C$7:$C$456,_Yardımcı!B16)&amp;CHAR(10)&amp;INDEX('4-Gün-Saat-Derslik Atama'!$G$7:$G$456,_Yardımcı!B16)&amp;CHAR(10)&amp;INDEX('4-Gün-Saat-Derslik Atama'!$L$7:$L$456,_Yardımcı!B16)))</f>
        <v/>
      </c>
      <c r="C13" s="45" t="str">
        <f aca="false">IF(_Yardımcı!C5=0,"",IF(_Yardımcı!C5&gt;1,"⚠ ÇAKIŞMA - kontrol edin",INDEX('4-Gün-Saat-Derslik Atama'!$B$7:$B$456,_Yardımcı!C16)&amp;" - "&amp;INDEX('4-Gün-Saat-Derslik Atama'!$C$7:$C$456,_Yardımcı!C16)&amp;CHAR(10)&amp;INDEX('4-Gün-Saat-Derslik Atama'!$G$7:$G$456,_Yardımcı!C16)&amp;CHAR(10)&amp;INDEX('4-Gün-Saat-Derslik Atama'!$L$7:$L$456,_Yardımcı!C16)))</f>
        <v/>
      </c>
      <c r="D13" s="45" t="str">
        <f aca="false">IF(_Yardımcı!D5=0,"",IF(_Yardımcı!D5&gt;1,"⚠ ÇAKIŞMA - kontrol edin",INDEX('4-Gün-Saat-Derslik Atama'!$B$7:$B$456,_Yardımcı!D16)&amp;" - "&amp;INDEX('4-Gün-Saat-Derslik Atama'!$C$7:$C$456,_Yardımcı!D16)&amp;CHAR(10)&amp;INDEX('4-Gün-Saat-Derslik Atama'!$G$7:$G$456,_Yardımcı!D16)&amp;CHAR(10)&amp;INDEX('4-Gün-Saat-Derslik Atama'!$L$7:$L$456,_Yardımcı!D16)))</f>
        <v/>
      </c>
      <c r="E13" s="45" t="str">
        <f aca="false">IF(_Yardımcı!E5=0,"",IF(_Yardımcı!E5&gt;1,"⚠ ÇAKIŞMA - kontrol edin",INDEX('4-Gün-Saat-Derslik Atama'!$B$7:$B$456,_Yardımcı!E16)&amp;" - "&amp;INDEX('4-Gün-Saat-Derslik Atama'!$C$7:$C$456,_Yardımcı!E16)&amp;CHAR(10)&amp;INDEX('4-Gün-Saat-Derslik Atama'!$G$7:$G$456,_Yardımcı!E16)&amp;CHAR(10)&amp;INDEX('4-Gün-Saat-Derslik Atama'!$L$7:$L$456,_Yardımcı!E16)))</f>
        <v/>
      </c>
      <c r="F13" s="45" t="str">
        <f aca="false">IF(_Yardımcı!F5=0,"",IF(_Yardımcı!F5&gt;1,"⚠ ÇAKIŞMA - kontrol edin",INDEX('4-Gün-Saat-Derslik Atama'!$B$7:$B$456,_Yardımcı!F16)&amp;" - "&amp;INDEX('4-Gün-Saat-Derslik Atama'!$C$7:$C$456,_Yardımcı!F16)&amp;CHAR(10)&amp;INDEX('4-Gün-Saat-Derslik Atama'!$G$7:$G$456,_Yardımcı!F16)&amp;CHAR(10)&amp;INDEX('4-Gün-Saat-Derslik Atama'!$L$7:$L$456,_Yardımcı!F16)))</f>
        <v/>
      </c>
    </row>
    <row r="14" customFormat="false" ht="45.75" hidden="false" customHeight="true" outlineLevel="0" collapsed="false">
      <c r="A14" s="44" t="s">
        <v>328</v>
      </c>
      <c r="B14" s="45" t="str">
        <f aca="false">IF(_Yardımcı!B6=0,"",IF(_Yardımcı!B6&gt;1,"⚠ ÇAKIŞMA - kontrol edin",INDEX('4-Gün-Saat-Derslik Atama'!$B$7:$B$456,_Yardımcı!B17)&amp;" - "&amp;INDEX('4-Gün-Saat-Derslik Atama'!$C$7:$C$456,_Yardımcı!B17)&amp;CHAR(10)&amp;INDEX('4-Gün-Saat-Derslik Atama'!$G$7:$G$456,_Yardımcı!B17)&amp;CHAR(10)&amp;INDEX('4-Gün-Saat-Derslik Atama'!$L$7:$L$456,_Yardımcı!B17)))</f>
        <v/>
      </c>
      <c r="C14" s="45" t="str">
        <f aca="false">IF(_Yardımcı!C6=0,"",IF(_Yardımcı!C6&gt;1,"⚠ ÇAKIŞMA - kontrol edin",INDEX('4-Gün-Saat-Derslik Atama'!$B$7:$B$456,_Yardımcı!C17)&amp;" - "&amp;INDEX('4-Gün-Saat-Derslik Atama'!$C$7:$C$456,_Yardımcı!C17)&amp;CHAR(10)&amp;INDEX('4-Gün-Saat-Derslik Atama'!$G$7:$G$456,_Yardımcı!C17)&amp;CHAR(10)&amp;INDEX('4-Gün-Saat-Derslik Atama'!$L$7:$L$456,_Yardımcı!C17)))</f>
        <v/>
      </c>
      <c r="D14" s="45" t="str">
        <f aca="false">IF(_Yardımcı!D6=0,"",IF(_Yardımcı!D6&gt;1,"⚠ ÇAKIŞMA - kontrol edin",INDEX('4-Gün-Saat-Derslik Atama'!$B$7:$B$456,_Yardımcı!D17)&amp;" - "&amp;INDEX('4-Gün-Saat-Derslik Atama'!$C$7:$C$456,_Yardımcı!D17)&amp;CHAR(10)&amp;INDEX('4-Gün-Saat-Derslik Atama'!$G$7:$G$456,_Yardımcı!D17)&amp;CHAR(10)&amp;INDEX('4-Gün-Saat-Derslik Atama'!$L$7:$L$456,_Yardımcı!D17)))</f>
        <v/>
      </c>
      <c r="E14" s="45" t="str">
        <f aca="false">IF(_Yardımcı!E6=0,"",IF(_Yardımcı!E6&gt;1,"⚠ ÇAKIŞMA - kontrol edin",INDEX('4-Gün-Saat-Derslik Atama'!$B$7:$B$456,_Yardımcı!E17)&amp;" - "&amp;INDEX('4-Gün-Saat-Derslik Atama'!$C$7:$C$456,_Yardımcı!E17)&amp;CHAR(10)&amp;INDEX('4-Gün-Saat-Derslik Atama'!$G$7:$G$456,_Yardımcı!E17)&amp;CHAR(10)&amp;INDEX('4-Gün-Saat-Derslik Atama'!$L$7:$L$456,_Yardımcı!E17)))</f>
        <v/>
      </c>
      <c r="F14" s="45" t="str">
        <f aca="false">IF(_Yardımcı!F6=0,"",IF(_Yardımcı!F6&gt;1,"⚠ ÇAKIŞMA - kontrol edin",INDEX('4-Gün-Saat-Derslik Atama'!$B$7:$B$456,_Yardımcı!F17)&amp;" - "&amp;INDEX('4-Gün-Saat-Derslik Atama'!$C$7:$C$456,_Yardımcı!F17)&amp;CHAR(10)&amp;INDEX('4-Gün-Saat-Derslik Atama'!$G$7:$G$456,_Yardımcı!F17)&amp;CHAR(10)&amp;INDEX('4-Gün-Saat-Derslik Atama'!$L$7:$L$456,_Yardımcı!F17)))</f>
        <v/>
      </c>
    </row>
    <row r="15" customFormat="false" ht="45.75" hidden="false" customHeight="true" outlineLevel="0" collapsed="false">
      <c r="A15" s="44" t="s">
        <v>329</v>
      </c>
      <c r="B15" s="45" t="str">
        <f aca="false">IF(_Yardımcı!B7=0,"",IF(_Yardımcı!B7&gt;1,"⚠ ÇAKIŞMA - kontrol edin",INDEX('4-Gün-Saat-Derslik Atama'!$B$7:$B$456,_Yardımcı!B18)&amp;" - "&amp;INDEX('4-Gün-Saat-Derslik Atama'!$C$7:$C$456,_Yardımcı!B18)&amp;CHAR(10)&amp;INDEX('4-Gün-Saat-Derslik Atama'!$G$7:$G$456,_Yardımcı!B18)&amp;CHAR(10)&amp;INDEX('4-Gün-Saat-Derslik Atama'!$L$7:$L$456,_Yardımcı!B18)))</f>
        <v/>
      </c>
      <c r="C15" s="45" t="str">
        <f aca="false">IF(_Yardımcı!C7=0,"",IF(_Yardımcı!C7&gt;1,"⚠ ÇAKIŞMA - kontrol edin",INDEX('4-Gün-Saat-Derslik Atama'!$B$7:$B$456,_Yardımcı!C18)&amp;" - "&amp;INDEX('4-Gün-Saat-Derslik Atama'!$C$7:$C$456,_Yardımcı!C18)&amp;CHAR(10)&amp;INDEX('4-Gün-Saat-Derslik Atama'!$G$7:$G$456,_Yardımcı!C18)&amp;CHAR(10)&amp;INDEX('4-Gün-Saat-Derslik Atama'!$L$7:$L$456,_Yardımcı!C18)))</f>
        <v/>
      </c>
      <c r="D15" s="45" t="str">
        <f aca="false">IF(_Yardımcı!D7=0,"",IF(_Yardımcı!D7&gt;1,"⚠ ÇAKIŞMA - kontrol edin",INDEX('4-Gün-Saat-Derslik Atama'!$B$7:$B$456,_Yardımcı!D18)&amp;" - "&amp;INDEX('4-Gün-Saat-Derslik Atama'!$C$7:$C$456,_Yardımcı!D18)&amp;CHAR(10)&amp;INDEX('4-Gün-Saat-Derslik Atama'!$G$7:$G$456,_Yardımcı!D18)&amp;CHAR(10)&amp;INDEX('4-Gün-Saat-Derslik Atama'!$L$7:$L$456,_Yardımcı!D18)))</f>
        <v/>
      </c>
      <c r="E15" s="45" t="str">
        <f aca="false">IF(_Yardımcı!E7=0,"",IF(_Yardımcı!E7&gt;1,"⚠ ÇAKIŞMA - kontrol edin",INDEX('4-Gün-Saat-Derslik Atama'!$B$7:$B$456,_Yardımcı!E18)&amp;" - "&amp;INDEX('4-Gün-Saat-Derslik Atama'!$C$7:$C$456,_Yardımcı!E18)&amp;CHAR(10)&amp;INDEX('4-Gün-Saat-Derslik Atama'!$G$7:$G$456,_Yardımcı!E18)&amp;CHAR(10)&amp;INDEX('4-Gün-Saat-Derslik Atama'!$L$7:$L$456,_Yardımcı!E18)))</f>
        <v/>
      </c>
      <c r="F15" s="45" t="str">
        <f aca="false">IF(_Yardımcı!F7=0,"",IF(_Yardımcı!F7&gt;1,"⚠ ÇAKIŞMA - kontrol edin",INDEX('4-Gün-Saat-Derslik Atama'!$B$7:$B$456,_Yardımcı!F18)&amp;" - "&amp;INDEX('4-Gün-Saat-Derslik Atama'!$C$7:$C$456,_Yardımcı!F18)&amp;CHAR(10)&amp;INDEX('4-Gün-Saat-Derslik Atama'!$G$7:$G$456,_Yardımcı!F18)&amp;CHAR(10)&amp;INDEX('4-Gün-Saat-Derslik Atama'!$L$7:$L$456,_Yardımcı!F18)))</f>
        <v/>
      </c>
    </row>
    <row r="16" customFormat="false" ht="45.75" hidden="false" customHeight="true" outlineLevel="0" collapsed="false">
      <c r="A16" s="44" t="s">
        <v>330</v>
      </c>
      <c r="B16" s="45" t="str">
        <f aca="false">IF(_Yardımcı!B8=0,"",IF(_Yardımcı!B8&gt;1,"⚠ ÇAKIŞMA - kontrol edin",INDEX('4-Gün-Saat-Derslik Atama'!$B$7:$B$456,_Yardımcı!B19)&amp;" - "&amp;INDEX('4-Gün-Saat-Derslik Atama'!$C$7:$C$456,_Yardımcı!B19)&amp;CHAR(10)&amp;INDEX('4-Gün-Saat-Derslik Atama'!$G$7:$G$456,_Yardımcı!B19)&amp;CHAR(10)&amp;INDEX('4-Gün-Saat-Derslik Atama'!$L$7:$L$456,_Yardımcı!B19)))</f>
        <v/>
      </c>
      <c r="C16" s="45" t="str">
        <f aca="false">IF(_Yardımcı!C8=0,"",IF(_Yardımcı!C8&gt;1,"⚠ ÇAKIŞMA - kontrol edin",INDEX('4-Gün-Saat-Derslik Atama'!$B$7:$B$456,_Yardımcı!C19)&amp;" - "&amp;INDEX('4-Gün-Saat-Derslik Atama'!$C$7:$C$456,_Yardımcı!C19)&amp;CHAR(10)&amp;INDEX('4-Gün-Saat-Derslik Atama'!$G$7:$G$456,_Yardımcı!C19)&amp;CHAR(10)&amp;INDEX('4-Gün-Saat-Derslik Atama'!$L$7:$L$456,_Yardımcı!C19)))</f>
        <v/>
      </c>
      <c r="D16" s="45" t="str">
        <f aca="false">IF(_Yardımcı!D8=0,"",IF(_Yardımcı!D8&gt;1,"⚠ ÇAKIŞMA - kontrol edin",INDEX('4-Gün-Saat-Derslik Atama'!$B$7:$B$456,_Yardımcı!D19)&amp;" - "&amp;INDEX('4-Gün-Saat-Derslik Atama'!$C$7:$C$456,_Yardımcı!D19)&amp;CHAR(10)&amp;INDEX('4-Gün-Saat-Derslik Atama'!$G$7:$G$456,_Yardımcı!D19)&amp;CHAR(10)&amp;INDEX('4-Gün-Saat-Derslik Atama'!$L$7:$L$456,_Yardımcı!D19)))</f>
        <v/>
      </c>
      <c r="E16" s="45" t="str">
        <f aca="false">IF(_Yardımcı!E8=0,"",IF(_Yardımcı!E8&gt;1,"⚠ ÇAKIŞMA - kontrol edin",INDEX('4-Gün-Saat-Derslik Atama'!$B$7:$B$456,_Yardımcı!E19)&amp;" - "&amp;INDEX('4-Gün-Saat-Derslik Atama'!$C$7:$C$456,_Yardımcı!E19)&amp;CHAR(10)&amp;INDEX('4-Gün-Saat-Derslik Atama'!$G$7:$G$456,_Yardımcı!E19)&amp;CHAR(10)&amp;INDEX('4-Gün-Saat-Derslik Atama'!$L$7:$L$456,_Yardımcı!E19)))</f>
        <v/>
      </c>
      <c r="F16" s="45" t="str">
        <f aca="false">IF(_Yardımcı!F8=0,"",IF(_Yardımcı!F8&gt;1,"⚠ ÇAKIŞMA - kontrol edin",INDEX('4-Gün-Saat-Derslik Atama'!$B$7:$B$456,_Yardımcı!F19)&amp;" - "&amp;INDEX('4-Gün-Saat-Derslik Atama'!$C$7:$C$456,_Yardımcı!F19)&amp;CHAR(10)&amp;INDEX('4-Gün-Saat-Derslik Atama'!$G$7:$G$456,_Yardımcı!F19)&amp;CHAR(10)&amp;INDEX('4-Gün-Saat-Derslik Atama'!$L$7:$L$456,_Yardımcı!F19)))</f>
        <v/>
      </c>
    </row>
    <row r="17" customFormat="false" ht="45.75" hidden="false" customHeight="true" outlineLevel="0" collapsed="false">
      <c r="A17" s="44" t="s">
        <v>331</v>
      </c>
      <c r="B17" s="45" t="str">
        <f aca="false">IF(_Yardımcı!B9=0,"",IF(_Yardımcı!B9&gt;1,"⚠ ÇAKIŞMA - kontrol edin",INDEX('4-Gün-Saat-Derslik Atama'!$B$7:$B$456,_Yardımcı!B20)&amp;" - "&amp;INDEX('4-Gün-Saat-Derslik Atama'!$C$7:$C$456,_Yardımcı!B20)&amp;CHAR(10)&amp;INDEX('4-Gün-Saat-Derslik Atama'!$G$7:$G$456,_Yardımcı!B20)&amp;CHAR(10)&amp;INDEX('4-Gün-Saat-Derslik Atama'!$L$7:$L$456,_Yardımcı!B20)))</f>
        <v/>
      </c>
      <c r="C17" s="45" t="str">
        <f aca="false">IF(_Yardımcı!C9=0,"",IF(_Yardımcı!C9&gt;1,"⚠ ÇAKIŞMA - kontrol edin",INDEX('4-Gün-Saat-Derslik Atama'!$B$7:$B$456,_Yardımcı!C20)&amp;" - "&amp;INDEX('4-Gün-Saat-Derslik Atama'!$C$7:$C$456,_Yardımcı!C20)&amp;CHAR(10)&amp;INDEX('4-Gün-Saat-Derslik Atama'!$G$7:$G$456,_Yardımcı!C20)&amp;CHAR(10)&amp;INDEX('4-Gün-Saat-Derslik Atama'!$L$7:$L$456,_Yardımcı!C20)))</f>
        <v/>
      </c>
      <c r="D17" s="45" t="str">
        <f aca="false">IF(_Yardımcı!D9=0,"",IF(_Yardımcı!D9&gt;1,"⚠ ÇAKIŞMA - kontrol edin",INDEX('4-Gün-Saat-Derslik Atama'!$B$7:$B$456,_Yardımcı!D20)&amp;" - "&amp;INDEX('4-Gün-Saat-Derslik Atama'!$C$7:$C$456,_Yardımcı!D20)&amp;CHAR(10)&amp;INDEX('4-Gün-Saat-Derslik Atama'!$G$7:$G$456,_Yardımcı!D20)&amp;CHAR(10)&amp;INDEX('4-Gün-Saat-Derslik Atama'!$L$7:$L$456,_Yardımcı!D20)))</f>
        <v/>
      </c>
      <c r="E17" s="45" t="str">
        <f aca="false">IF(_Yardımcı!E9=0,"",IF(_Yardımcı!E9&gt;1,"⚠ ÇAKIŞMA - kontrol edin",INDEX('4-Gün-Saat-Derslik Atama'!$B$7:$B$456,_Yardımcı!E20)&amp;" - "&amp;INDEX('4-Gün-Saat-Derslik Atama'!$C$7:$C$456,_Yardımcı!E20)&amp;CHAR(10)&amp;INDEX('4-Gün-Saat-Derslik Atama'!$G$7:$G$456,_Yardımcı!E20)&amp;CHAR(10)&amp;INDEX('4-Gün-Saat-Derslik Atama'!$L$7:$L$456,_Yardımcı!E20)))</f>
        <v/>
      </c>
      <c r="F17" s="45" t="str">
        <f aca="false">IF(_Yardımcı!F9=0,"",IF(_Yardımcı!F9&gt;1,"⚠ ÇAKIŞMA - kontrol edin",INDEX('4-Gün-Saat-Derslik Atama'!$B$7:$B$456,_Yardımcı!F20)&amp;" - "&amp;INDEX('4-Gün-Saat-Derslik Atama'!$C$7:$C$456,_Yardımcı!F20)&amp;CHAR(10)&amp;INDEX('4-Gün-Saat-Derslik Atama'!$G$7:$G$456,_Yardımcı!F20)&amp;CHAR(10)&amp;INDEX('4-Gün-Saat-Derslik Atama'!$L$7:$L$456,_Yardımcı!F20)))</f>
        <v/>
      </c>
    </row>
    <row r="18" customFormat="false" ht="45.75" hidden="false" customHeight="true" outlineLevel="0" collapsed="false">
      <c r="A18" s="44" t="s">
        <v>332</v>
      </c>
      <c r="B18" s="45" t="str">
        <f aca="false">IF(_Yardımcı!B10=0,"",IF(_Yardımcı!B10&gt;1,"⚠ ÇAKIŞMA - kontrol edin",INDEX('4-Gün-Saat-Derslik Atama'!$B$7:$B$456,_Yardımcı!B21)&amp;" - "&amp;INDEX('4-Gün-Saat-Derslik Atama'!$C$7:$C$456,_Yardımcı!B21)&amp;CHAR(10)&amp;INDEX('4-Gün-Saat-Derslik Atama'!$G$7:$G$456,_Yardımcı!B21)&amp;CHAR(10)&amp;INDEX('4-Gün-Saat-Derslik Atama'!$L$7:$L$456,_Yardımcı!B21)))</f>
        <v/>
      </c>
      <c r="C18" s="45" t="str">
        <f aca="false">IF(_Yardımcı!C10=0,"",IF(_Yardımcı!C10&gt;1,"⚠ ÇAKIŞMA - kontrol edin",INDEX('4-Gün-Saat-Derslik Atama'!$B$7:$B$456,_Yardımcı!C21)&amp;" - "&amp;INDEX('4-Gün-Saat-Derslik Atama'!$C$7:$C$456,_Yardımcı!C21)&amp;CHAR(10)&amp;INDEX('4-Gün-Saat-Derslik Atama'!$G$7:$G$456,_Yardımcı!C21)&amp;CHAR(10)&amp;INDEX('4-Gün-Saat-Derslik Atama'!$L$7:$L$456,_Yardımcı!C21)))</f>
        <v/>
      </c>
      <c r="D18" s="45" t="str">
        <f aca="false">IF(_Yardımcı!D10=0,"",IF(_Yardımcı!D10&gt;1,"⚠ ÇAKIŞMA - kontrol edin",INDEX('4-Gün-Saat-Derslik Atama'!$B$7:$B$456,_Yardımcı!D21)&amp;" - "&amp;INDEX('4-Gün-Saat-Derslik Atama'!$C$7:$C$456,_Yardımcı!D21)&amp;CHAR(10)&amp;INDEX('4-Gün-Saat-Derslik Atama'!$G$7:$G$456,_Yardımcı!D21)&amp;CHAR(10)&amp;INDEX('4-Gün-Saat-Derslik Atama'!$L$7:$L$456,_Yardımcı!D21)))</f>
        <v/>
      </c>
      <c r="E18" s="45" t="str">
        <f aca="false">IF(_Yardımcı!E10=0,"",IF(_Yardımcı!E10&gt;1,"⚠ ÇAKIŞMA - kontrol edin",INDEX('4-Gün-Saat-Derslik Atama'!$B$7:$B$456,_Yardımcı!E21)&amp;" - "&amp;INDEX('4-Gün-Saat-Derslik Atama'!$C$7:$C$456,_Yardımcı!E21)&amp;CHAR(10)&amp;INDEX('4-Gün-Saat-Derslik Atama'!$G$7:$G$456,_Yardımcı!E21)&amp;CHAR(10)&amp;INDEX('4-Gün-Saat-Derslik Atama'!$L$7:$L$456,_Yardımcı!E21)))</f>
        <v/>
      </c>
      <c r="F18" s="45" t="str">
        <f aca="false">IF(_Yardımcı!F10=0,"",IF(_Yardımcı!F10&gt;1,"⚠ ÇAKIŞMA - kontrol edin",INDEX('4-Gün-Saat-Derslik Atama'!$B$7:$B$456,_Yardımcı!F21)&amp;" - "&amp;INDEX('4-Gün-Saat-Derslik Atama'!$C$7:$C$456,_Yardımcı!F21)&amp;CHAR(10)&amp;INDEX('4-Gün-Saat-Derslik Atama'!$G$7:$G$456,_Yardımcı!F21)&amp;CHAR(10)&amp;INDEX('4-Gün-Saat-Derslik Atama'!$L$7:$L$456,_Yardımcı!F21)))</f>
        <v/>
      </c>
    </row>
    <row r="19" customFormat="false" ht="45.75" hidden="false" customHeight="true" outlineLevel="0" collapsed="false">
      <c r="A19" s="44" t="s">
        <v>333</v>
      </c>
      <c r="B19" s="45" t="str">
        <f aca="false">IF(_Yardımcı!B11=0,"",IF(_Yardımcı!B11&gt;1,"⚠ ÇAKIŞMA - kontrol edin",INDEX('4-Gün-Saat-Derslik Atama'!$B$7:$B$456,_Yardımcı!B22)&amp;" - "&amp;INDEX('4-Gün-Saat-Derslik Atama'!$C$7:$C$456,_Yardımcı!B22)&amp;CHAR(10)&amp;INDEX('4-Gün-Saat-Derslik Atama'!$G$7:$G$456,_Yardımcı!B22)&amp;CHAR(10)&amp;INDEX('4-Gün-Saat-Derslik Atama'!$L$7:$L$456,_Yardımcı!B22)))</f>
        <v/>
      </c>
      <c r="C19" s="45" t="str">
        <f aca="false">IF(_Yardımcı!C11=0,"",IF(_Yardımcı!C11&gt;1,"⚠ ÇAKIŞMA - kontrol edin",INDEX('4-Gün-Saat-Derslik Atama'!$B$7:$B$456,_Yardımcı!C22)&amp;" - "&amp;INDEX('4-Gün-Saat-Derslik Atama'!$C$7:$C$456,_Yardımcı!C22)&amp;CHAR(10)&amp;INDEX('4-Gün-Saat-Derslik Atama'!$G$7:$G$456,_Yardımcı!C22)&amp;CHAR(10)&amp;INDEX('4-Gün-Saat-Derslik Atama'!$L$7:$L$456,_Yardımcı!C22)))</f>
        <v/>
      </c>
      <c r="D19" s="45" t="str">
        <f aca="false">IF(_Yardımcı!D11=0,"",IF(_Yardımcı!D11&gt;1,"⚠ ÇAKIŞMA - kontrol edin",INDEX('4-Gün-Saat-Derslik Atama'!$B$7:$B$456,_Yardımcı!D22)&amp;" - "&amp;INDEX('4-Gün-Saat-Derslik Atama'!$C$7:$C$456,_Yardımcı!D22)&amp;CHAR(10)&amp;INDEX('4-Gün-Saat-Derslik Atama'!$G$7:$G$456,_Yardımcı!D22)&amp;CHAR(10)&amp;INDEX('4-Gün-Saat-Derslik Atama'!$L$7:$L$456,_Yardımcı!D22)))</f>
        <v/>
      </c>
      <c r="E19" s="45" t="str">
        <f aca="false">IF(_Yardımcı!E11=0,"",IF(_Yardımcı!E11&gt;1,"⚠ ÇAKIŞMA - kontrol edin",INDEX('4-Gün-Saat-Derslik Atama'!$B$7:$B$456,_Yardımcı!E22)&amp;" - "&amp;INDEX('4-Gün-Saat-Derslik Atama'!$C$7:$C$456,_Yardımcı!E22)&amp;CHAR(10)&amp;INDEX('4-Gün-Saat-Derslik Atama'!$G$7:$G$456,_Yardımcı!E22)&amp;CHAR(10)&amp;INDEX('4-Gün-Saat-Derslik Atama'!$L$7:$L$456,_Yardımcı!E22)))</f>
        <v/>
      </c>
      <c r="F19" s="45" t="str">
        <f aca="false">IF(_Yardımcı!F11=0,"",IF(_Yardımcı!F11&gt;1,"⚠ ÇAKIŞMA - kontrol edin",INDEX('4-Gün-Saat-Derslik Atama'!$B$7:$B$456,_Yardımcı!F22)&amp;" - "&amp;INDEX('4-Gün-Saat-Derslik Atama'!$C$7:$C$456,_Yardımcı!F22)&amp;CHAR(10)&amp;INDEX('4-Gün-Saat-Derslik Atama'!$G$7:$G$456,_Yardımcı!F22)&amp;CHAR(10)&amp;INDEX('4-Gün-Saat-Derslik Atama'!$L$7:$L$456,_Yardımcı!F22)))</f>
        <v/>
      </c>
    </row>
    <row r="21" customFormat="false" ht="18" hidden="false" customHeight="true" outlineLevel="0" collapsed="false">
      <c r="A21" s="46" t="s">
        <v>354</v>
      </c>
      <c r="B21" s="46"/>
      <c r="C21" s="46"/>
      <c r="E21" s="47" t="s">
        <v>355</v>
      </c>
      <c r="F21" s="47"/>
    </row>
  </sheetData>
  <mergeCells count="9">
    <mergeCell ref="A1:F1"/>
    <mergeCell ref="A2:F2"/>
    <mergeCell ref="A3:F3"/>
    <mergeCell ref="A4:F4"/>
    <mergeCell ref="A5:F5"/>
    <mergeCell ref="A6:F6"/>
    <mergeCell ref="A7:F7"/>
    <mergeCell ref="A21:C21"/>
    <mergeCell ref="E21:F21"/>
  </mergeCells>
  <conditionalFormatting sqref="B10:F19">
    <cfRule type="expression" priority="2" aboveAverage="0" equalAverage="0" bottom="0" percent="0" rank="0" text="" dxfId="6">
      <formula>LEFT(B10,1)="⚠"</formula>
    </cfRule>
  </conditionalFormatting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324F"/>
    <pageSetUpPr fitToPage="tru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6" min="2" style="0" width="30"/>
  </cols>
  <sheetData>
    <row r="1" customFormat="false" ht="24" hidden="false" customHeight="true" outlineLevel="0" collapsed="false">
      <c r="A1" s="30" t="s">
        <v>341</v>
      </c>
      <c r="B1" s="30"/>
      <c r="C1" s="30"/>
      <c r="D1" s="30"/>
      <c r="E1" s="30"/>
      <c r="F1" s="30"/>
    </row>
    <row r="2" customFormat="false" ht="24" hidden="false" customHeight="true" outlineLevel="0" collapsed="false">
      <c r="A2" s="40" t="s">
        <v>342</v>
      </c>
      <c r="B2" s="40"/>
      <c r="C2" s="40"/>
      <c r="D2" s="40"/>
      <c r="E2" s="40"/>
      <c r="F2" s="40"/>
    </row>
    <row r="3" customFormat="false" ht="24" hidden="false" customHeight="true" outlineLevel="0" collapsed="false">
      <c r="A3" s="30" t="s">
        <v>343</v>
      </c>
      <c r="B3" s="30"/>
      <c r="C3" s="30"/>
      <c r="D3" s="30"/>
      <c r="E3" s="30"/>
      <c r="F3" s="30"/>
    </row>
    <row r="4" customFormat="false" ht="24" hidden="false" customHeight="true" outlineLevel="0" collapsed="false">
      <c r="A4" s="41" t="s">
        <v>344</v>
      </c>
      <c r="B4" s="41"/>
      <c r="C4" s="41"/>
      <c r="D4" s="41"/>
      <c r="E4" s="41"/>
      <c r="F4" s="41"/>
    </row>
    <row r="5" customFormat="false" ht="24" hidden="false" customHeight="true" outlineLevel="0" collapsed="false">
      <c r="A5" s="41" t="s">
        <v>345</v>
      </c>
      <c r="B5" s="41"/>
      <c r="C5" s="41"/>
      <c r="D5" s="41"/>
      <c r="E5" s="41"/>
      <c r="F5" s="41"/>
    </row>
    <row r="6" customFormat="false" ht="27.75" hidden="false" customHeight="true" outlineLevel="0" collapsed="false">
      <c r="A6" s="23" t="s">
        <v>346</v>
      </c>
      <c r="B6" s="23"/>
      <c r="C6" s="23"/>
      <c r="D6" s="23"/>
      <c r="E6" s="23"/>
      <c r="F6" s="23"/>
    </row>
    <row r="7" customFormat="false" ht="24" hidden="false" customHeight="true" outlineLevel="0" collapsed="false">
      <c r="A7" s="42" t="s">
        <v>356</v>
      </c>
      <c r="B7" s="42"/>
      <c r="C7" s="42"/>
      <c r="D7" s="42"/>
      <c r="E7" s="42"/>
      <c r="F7" s="42"/>
    </row>
    <row r="9" customFormat="false" ht="19.5" hidden="false" customHeight="true" outlineLevel="0" collapsed="false">
      <c r="A9" s="16" t="s">
        <v>348</v>
      </c>
      <c r="B9" s="43" t="s">
        <v>349</v>
      </c>
      <c r="C9" s="43" t="s">
        <v>350</v>
      </c>
      <c r="D9" s="43" t="s">
        <v>351</v>
      </c>
      <c r="E9" s="43" t="s">
        <v>352</v>
      </c>
      <c r="F9" s="43" t="s">
        <v>353</v>
      </c>
    </row>
    <row r="10" customFormat="false" ht="45.75" hidden="false" customHeight="true" outlineLevel="0" collapsed="false">
      <c r="A10" s="44" t="s">
        <v>324</v>
      </c>
      <c r="B10" s="45" t="str">
        <f aca="false">IF(_Yardımcı!B24=0,"",IF(_Yardımcı!B24&gt;1,"⚠ ÇAKIŞMA - kontrol edin",INDEX('4-Gün-Saat-Derslik Atama'!$B$7:$B$456,_Yardımcı!B35)&amp;" - "&amp;INDEX('4-Gün-Saat-Derslik Atama'!$C$7:$C$456,_Yardımcı!B35)&amp;CHAR(10)&amp;INDEX('4-Gün-Saat-Derslik Atama'!$G$7:$G$456,_Yardımcı!B35)&amp;CHAR(10)&amp;INDEX('4-Gün-Saat-Derslik Atama'!$L$7:$L$456,_Yardımcı!B35)))</f>
        <v/>
      </c>
      <c r="C10" s="45" t="str">
        <f aca="false">IF(_Yardımcı!C24=0,"",IF(_Yardımcı!C24&gt;1,"⚠ ÇAKIŞMA - kontrol edin",INDEX('4-Gün-Saat-Derslik Atama'!$B$7:$B$456,_Yardımcı!C35)&amp;" - "&amp;INDEX('4-Gün-Saat-Derslik Atama'!$C$7:$C$456,_Yardımcı!C35)&amp;CHAR(10)&amp;INDEX('4-Gün-Saat-Derslik Atama'!$G$7:$G$456,_Yardımcı!C35)&amp;CHAR(10)&amp;INDEX('4-Gün-Saat-Derslik Atama'!$L$7:$L$456,_Yardımcı!C35)))</f>
        <v/>
      </c>
      <c r="D10" s="45" t="str">
        <f aca="false">IF(_Yardımcı!D24=0,"",IF(_Yardımcı!D24&gt;1,"⚠ ÇAKIŞMA - kontrol edin",INDEX('4-Gün-Saat-Derslik Atama'!$B$7:$B$456,_Yardımcı!D35)&amp;" - "&amp;INDEX('4-Gün-Saat-Derslik Atama'!$C$7:$C$456,_Yardımcı!D35)&amp;CHAR(10)&amp;INDEX('4-Gün-Saat-Derslik Atama'!$G$7:$G$456,_Yardımcı!D35)&amp;CHAR(10)&amp;INDEX('4-Gün-Saat-Derslik Atama'!$L$7:$L$456,_Yardımcı!D35)))</f>
        <v/>
      </c>
      <c r="E10" s="45" t="str">
        <f aca="false">IF(_Yardımcı!E24=0,"",IF(_Yardımcı!E24&gt;1,"⚠ ÇAKIŞMA - kontrol edin",INDEX('4-Gün-Saat-Derslik Atama'!$B$7:$B$456,_Yardımcı!E35)&amp;" - "&amp;INDEX('4-Gün-Saat-Derslik Atama'!$C$7:$C$456,_Yardımcı!E35)&amp;CHAR(10)&amp;INDEX('4-Gün-Saat-Derslik Atama'!$G$7:$G$456,_Yardımcı!E35)&amp;CHAR(10)&amp;INDEX('4-Gün-Saat-Derslik Atama'!$L$7:$L$456,_Yardımcı!E35)))</f>
        <v/>
      </c>
      <c r="F10" s="45" t="str">
        <f aca="false">IF(_Yardımcı!F24=0,"",IF(_Yardımcı!F24&gt;1,"⚠ ÇAKIŞMA - kontrol edin",INDEX('4-Gün-Saat-Derslik Atama'!$B$7:$B$456,_Yardımcı!F35)&amp;" - "&amp;INDEX('4-Gün-Saat-Derslik Atama'!$C$7:$C$456,_Yardımcı!F35)&amp;CHAR(10)&amp;INDEX('4-Gün-Saat-Derslik Atama'!$G$7:$G$456,_Yardımcı!F35)&amp;CHAR(10)&amp;INDEX('4-Gün-Saat-Derslik Atama'!$L$7:$L$456,_Yardımcı!F35)))</f>
        <v/>
      </c>
    </row>
    <row r="11" customFormat="false" ht="45.75" hidden="false" customHeight="true" outlineLevel="0" collapsed="false">
      <c r="A11" s="44" t="s">
        <v>325</v>
      </c>
      <c r="B11" s="45" t="str">
        <f aca="false">IF(_Yardımcı!B25=0,"",IF(_Yardımcı!B25&gt;1,"⚠ ÇAKIŞMA - kontrol edin",INDEX('4-Gün-Saat-Derslik Atama'!$B$7:$B$456,_Yardımcı!B36)&amp;" - "&amp;INDEX('4-Gün-Saat-Derslik Atama'!$C$7:$C$456,_Yardımcı!B36)&amp;CHAR(10)&amp;INDEX('4-Gün-Saat-Derslik Atama'!$G$7:$G$456,_Yardımcı!B36)&amp;CHAR(10)&amp;INDEX('4-Gün-Saat-Derslik Atama'!$L$7:$L$456,_Yardımcı!B36)))</f>
        <v/>
      </c>
      <c r="C11" s="45" t="str">
        <f aca="false">IF(_Yardımcı!C25=0,"",IF(_Yardımcı!C25&gt;1,"⚠ ÇAKIŞMA - kontrol edin",INDEX('4-Gün-Saat-Derslik Atama'!$B$7:$B$456,_Yardımcı!C36)&amp;" - "&amp;INDEX('4-Gün-Saat-Derslik Atama'!$C$7:$C$456,_Yardımcı!C36)&amp;CHAR(10)&amp;INDEX('4-Gün-Saat-Derslik Atama'!$G$7:$G$456,_Yardımcı!C36)&amp;CHAR(10)&amp;INDEX('4-Gün-Saat-Derslik Atama'!$L$7:$L$456,_Yardımcı!C36)))</f>
        <v/>
      </c>
      <c r="D11" s="45" t="str">
        <f aca="false">IF(_Yardımcı!D25=0,"",IF(_Yardımcı!D25&gt;1,"⚠ ÇAKIŞMA - kontrol edin",INDEX('4-Gün-Saat-Derslik Atama'!$B$7:$B$456,_Yardımcı!D36)&amp;" - "&amp;INDEX('4-Gün-Saat-Derslik Atama'!$C$7:$C$456,_Yardımcı!D36)&amp;CHAR(10)&amp;INDEX('4-Gün-Saat-Derslik Atama'!$G$7:$G$456,_Yardımcı!D36)&amp;CHAR(10)&amp;INDEX('4-Gün-Saat-Derslik Atama'!$L$7:$L$456,_Yardımcı!D36)))</f>
        <v/>
      </c>
      <c r="E11" s="45" t="str">
        <f aca="false">IF(_Yardımcı!E25=0,"",IF(_Yardımcı!E25&gt;1,"⚠ ÇAKIŞMA - kontrol edin",INDEX('4-Gün-Saat-Derslik Atama'!$B$7:$B$456,_Yardımcı!E36)&amp;" - "&amp;INDEX('4-Gün-Saat-Derslik Atama'!$C$7:$C$456,_Yardımcı!E36)&amp;CHAR(10)&amp;INDEX('4-Gün-Saat-Derslik Atama'!$G$7:$G$456,_Yardımcı!E36)&amp;CHAR(10)&amp;INDEX('4-Gün-Saat-Derslik Atama'!$L$7:$L$456,_Yardımcı!E36)))</f>
        <v/>
      </c>
      <c r="F11" s="45" t="str">
        <f aca="false">IF(_Yardımcı!F25=0,"",IF(_Yardımcı!F25&gt;1,"⚠ ÇAKIŞMA - kontrol edin",INDEX('4-Gün-Saat-Derslik Atama'!$B$7:$B$456,_Yardımcı!F36)&amp;" - "&amp;INDEX('4-Gün-Saat-Derslik Atama'!$C$7:$C$456,_Yardımcı!F36)&amp;CHAR(10)&amp;INDEX('4-Gün-Saat-Derslik Atama'!$G$7:$G$456,_Yardımcı!F36)&amp;CHAR(10)&amp;INDEX('4-Gün-Saat-Derslik Atama'!$L$7:$L$456,_Yardımcı!F36)))</f>
        <v/>
      </c>
    </row>
    <row r="12" customFormat="false" ht="45.75" hidden="false" customHeight="true" outlineLevel="0" collapsed="false">
      <c r="A12" s="44" t="s">
        <v>326</v>
      </c>
      <c r="B12" s="45" t="str">
        <f aca="false">IF(_Yardımcı!B26=0,"",IF(_Yardımcı!B26&gt;1,"⚠ ÇAKIŞMA - kontrol edin",INDEX('4-Gün-Saat-Derslik Atama'!$B$7:$B$456,_Yardımcı!B37)&amp;" - "&amp;INDEX('4-Gün-Saat-Derslik Atama'!$C$7:$C$456,_Yardımcı!B37)&amp;CHAR(10)&amp;INDEX('4-Gün-Saat-Derslik Atama'!$G$7:$G$456,_Yardımcı!B37)&amp;CHAR(10)&amp;INDEX('4-Gün-Saat-Derslik Atama'!$L$7:$L$456,_Yardımcı!B37)))</f>
        <v/>
      </c>
      <c r="C12" s="45" t="str">
        <f aca="false">IF(_Yardımcı!C26=0,"",IF(_Yardımcı!C26&gt;1,"⚠ ÇAKIŞMA - kontrol edin",INDEX('4-Gün-Saat-Derslik Atama'!$B$7:$B$456,_Yardımcı!C37)&amp;" - "&amp;INDEX('4-Gün-Saat-Derslik Atama'!$C$7:$C$456,_Yardımcı!C37)&amp;CHAR(10)&amp;INDEX('4-Gün-Saat-Derslik Atama'!$G$7:$G$456,_Yardımcı!C37)&amp;CHAR(10)&amp;INDEX('4-Gün-Saat-Derslik Atama'!$L$7:$L$456,_Yardımcı!C37)))</f>
        <v/>
      </c>
      <c r="D12" s="45" t="str">
        <f aca="false">IF(_Yardımcı!D26=0,"",IF(_Yardımcı!D26&gt;1,"⚠ ÇAKIŞMA - kontrol edin",INDEX('4-Gün-Saat-Derslik Atama'!$B$7:$B$456,_Yardımcı!D37)&amp;" - "&amp;INDEX('4-Gün-Saat-Derslik Atama'!$C$7:$C$456,_Yardımcı!D37)&amp;CHAR(10)&amp;INDEX('4-Gün-Saat-Derslik Atama'!$G$7:$G$456,_Yardımcı!D37)&amp;CHAR(10)&amp;INDEX('4-Gün-Saat-Derslik Atama'!$L$7:$L$456,_Yardımcı!D37)))</f>
        <v/>
      </c>
      <c r="E12" s="45" t="str">
        <f aca="false">IF(_Yardımcı!E26=0,"",IF(_Yardımcı!E26&gt;1,"⚠ ÇAKIŞMA - kontrol edin",INDEX('4-Gün-Saat-Derslik Atama'!$B$7:$B$456,_Yardımcı!E37)&amp;" - "&amp;INDEX('4-Gün-Saat-Derslik Atama'!$C$7:$C$456,_Yardımcı!E37)&amp;CHAR(10)&amp;INDEX('4-Gün-Saat-Derslik Atama'!$G$7:$G$456,_Yardımcı!E37)&amp;CHAR(10)&amp;INDEX('4-Gün-Saat-Derslik Atama'!$L$7:$L$456,_Yardımcı!E37)))</f>
        <v/>
      </c>
      <c r="F12" s="45" t="str">
        <f aca="false">IF(_Yardımcı!F26=0,"",IF(_Yardımcı!F26&gt;1,"⚠ ÇAKIŞMA - kontrol edin",INDEX('4-Gün-Saat-Derslik Atama'!$B$7:$B$456,_Yardımcı!F37)&amp;" - "&amp;INDEX('4-Gün-Saat-Derslik Atama'!$C$7:$C$456,_Yardımcı!F37)&amp;CHAR(10)&amp;INDEX('4-Gün-Saat-Derslik Atama'!$G$7:$G$456,_Yardımcı!F37)&amp;CHAR(10)&amp;INDEX('4-Gün-Saat-Derslik Atama'!$L$7:$L$456,_Yardımcı!F37)))</f>
        <v/>
      </c>
    </row>
    <row r="13" customFormat="false" ht="45.75" hidden="false" customHeight="true" outlineLevel="0" collapsed="false">
      <c r="A13" s="44" t="s">
        <v>327</v>
      </c>
      <c r="B13" s="45" t="str">
        <f aca="false">IF(_Yardımcı!B27=0,"",IF(_Yardımcı!B27&gt;1,"⚠ ÇAKIŞMA - kontrol edin",INDEX('4-Gün-Saat-Derslik Atama'!$B$7:$B$456,_Yardımcı!B38)&amp;" - "&amp;INDEX('4-Gün-Saat-Derslik Atama'!$C$7:$C$456,_Yardımcı!B38)&amp;CHAR(10)&amp;INDEX('4-Gün-Saat-Derslik Atama'!$G$7:$G$456,_Yardımcı!B38)&amp;CHAR(10)&amp;INDEX('4-Gün-Saat-Derslik Atama'!$L$7:$L$456,_Yardımcı!B38)))</f>
        <v/>
      </c>
      <c r="C13" s="45" t="str">
        <f aca="false">IF(_Yardımcı!C27=0,"",IF(_Yardımcı!C27&gt;1,"⚠ ÇAKIŞMA - kontrol edin",INDEX('4-Gün-Saat-Derslik Atama'!$B$7:$B$456,_Yardımcı!C38)&amp;" - "&amp;INDEX('4-Gün-Saat-Derslik Atama'!$C$7:$C$456,_Yardımcı!C38)&amp;CHAR(10)&amp;INDEX('4-Gün-Saat-Derslik Atama'!$G$7:$G$456,_Yardımcı!C38)&amp;CHAR(10)&amp;INDEX('4-Gün-Saat-Derslik Atama'!$L$7:$L$456,_Yardımcı!C38)))</f>
        <v/>
      </c>
      <c r="D13" s="45" t="str">
        <f aca="false">IF(_Yardımcı!D27=0,"",IF(_Yardımcı!D27&gt;1,"⚠ ÇAKIŞMA - kontrol edin",INDEX('4-Gün-Saat-Derslik Atama'!$B$7:$B$456,_Yardımcı!D38)&amp;" - "&amp;INDEX('4-Gün-Saat-Derslik Atama'!$C$7:$C$456,_Yardımcı!D38)&amp;CHAR(10)&amp;INDEX('4-Gün-Saat-Derslik Atama'!$G$7:$G$456,_Yardımcı!D38)&amp;CHAR(10)&amp;INDEX('4-Gün-Saat-Derslik Atama'!$L$7:$L$456,_Yardımcı!D38)))</f>
        <v/>
      </c>
      <c r="E13" s="45" t="str">
        <f aca="false">IF(_Yardımcı!E27=0,"",IF(_Yardımcı!E27&gt;1,"⚠ ÇAKIŞMA - kontrol edin",INDEX('4-Gün-Saat-Derslik Atama'!$B$7:$B$456,_Yardımcı!E38)&amp;" - "&amp;INDEX('4-Gün-Saat-Derslik Atama'!$C$7:$C$456,_Yardımcı!E38)&amp;CHAR(10)&amp;INDEX('4-Gün-Saat-Derslik Atama'!$G$7:$G$456,_Yardımcı!E38)&amp;CHAR(10)&amp;INDEX('4-Gün-Saat-Derslik Atama'!$L$7:$L$456,_Yardımcı!E38)))</f>
        <v/>
      </c>
      <c r="F13" s="45" t="str">
        <f aca="false">IF(_Yardımcı!F27=0,"",IF(_Yardımcı!F27&gt;1,"⚠ ÇAKIŞMA - kontrol edin",INDEX('4-Gün-Saat-Derslik Atama'!$B$7:$B$456,_Yardımcı!F38)&amp;" - "&amp;INDEX('4-Gün-Saat-Derslik Atama'!$C$7:$C$456,_Yardımcı!F38)&amp;CHAR(10)&amp;INDEX('4-Gün-Saat-Derslik Atama'!$G$7:$G$456,_Yardımcı!F38)&amp;CHAR(10)&amp;INDEX('4-Gün-Saat-Derslik Atama'!$L$7:$L$456,_Yardımcı!F38)))</f>
        <v/>
      </c>
    </row>
    <row r="14" customFormat="false" ht="45.75" hidden="false" customHeight="true" outlineLevel="0" collapsed="false">
      <c r="A14" s="44" t="s">
        <v>328</v>
      </c>
      <c r="B14" s="45" t="str">
        <f aca="false">IF(_Yardımcı!B28=0,"",IF(_Yardımcı!B28&gt;1,"⚠ ÇAKIŞMA - kontrol edin",INDEX('4-Gün-Saat-Derslik Atama'!$B$7:$B$456,_Yardımcı!B39)&amp;" - "&amp;INDEX('4-Gün-Saat-Derslik Atama'!$C$7:$C$456,_Yardımcı!B39)&amp;CHAR(10)&amp;INDEX('4-Gün-Saat-Derslik Atama'!$G$7:$G$456,_Yardımcı!B39)&amp;CHAR(10)&amp;INDEX('4-Gün-Saat-Derslik Atama'!$L$7:$L$456,_Yardımcı!B39)))</f>
        <v/>
      </c>
      <c r="C14" s="45" t="str">
        <f aca="false">IF(_Yardımcı!C28=0,"",IF(_Yardımcı!C28&gt;1,"⚠ ÇAKIŞMA - kontrol edin",INDEX('4-Gün-Saat-Derslik Atama'!$B$7:$B$456,_Yardımcı!C39)&amp;" - "&amp;INDEX('4-Gün-Saat-Derslik Atama'!$C$7:$C$456,_Yardımcı!C39)&amp;CHAR(10)&amp;INDEX('4-Gün-Saat-Derslik Atama'!$G$7:$G$456,_Yardımcı!C39)&amp;CHAR(10)&amp;INDEX('4-Gün-Saat-Derslik Atama'!$L$7:$L$456,_Yardımcı!C39)))</f>
        <v/>
      </c>
      <c r="D14" s="45" t="str">
        <f aca="false">IF(_Yardımcı!D28=0,"",IF(_Yardımcı!D28&gt;1,"⚠ ÇAKIŞMA - kontrol edin",INDEX('4-Gün-Saat-Derslik Atama'!$B$7:$B$456,_Yardımcı!D39)&amp;" - "&amp;INDEX('4-Gün-Saat-Derslik Atama'!$C$7:$C$456,_Yardımcı!D39)&amp;CHAR(10)&amp;INDEX('4-Gün-Saat-Derslik Atama'!$G$7:$G$456,_Yardımcı!D39)&amp;CHAR(10)&amp;INDEX('4-Gün-Saat-Derslik Atama'!$L$7:$L$456,_Yardımcı!D39)))</f>
        <v/>
      </c>
      <c r="E14" s="45" t="str">
        <f aca="false">IF(_Yardımcı!E28=0,"",IF(_Yardımcı!E28&gt;1,"⚠ ÇAKIŞMA - kontrol edin",INDEX('4-Gün-Saat-Derslik Atama'!$B$7:$B$456,_Yardımcı!E39)&amp;" - "&amp;INDEX('4-Gün-Saat-Derslik Atama'!$C$7:$C$456,_Yardımcı!E39)&amp;CHAR(10)&amp;INDEX('4-Gün-Saat-Derslik Atama'!$G$7:$G$456,_Yardımcı!E39)&amp;CHAR(10)&amp;INDEX('4-Gün-Saat-Derslik Atama'!$L$7:$L$456,_Yardımcı!E39)))</f>
        <v/>
      </c>
      <c r="F14" s="45" t="str">
        <f aca="false">IF(_Yardımcı!F28=0,"",IF(_Yardımcı!F28&gt;1,"⚠ ÇAKIŞMA - kontrol edin",INDEX('4-Gün-Saat-Derslik Atama'!$B$7:$B$456,_Yardımcı!F39)&amp;" - "&amp;INDEX('4-Gün-Saat-Derslik Atama'!$C$7:$C$456,_Yardımcı!F39)&amp;CHAR(10)&amp;INDEX('4-Gün-Saat-Derslik Atama'!$G$7:$G$456,_Yardımcı!F39)&amp;CHAR(10)&amp;INDEX('4-Gün-Saat-Derslik Atama'!$L$7:$L$456,_Yardımcı!F39)))</f>
        <v/>
      </c>
    </row>
    <row r="15" customFormat="false" ht="45.75" hidden="false" customHeight="true" outlineLevel="0" collapsed="false">
      <c r="A15" s="44" t="s">
        <v>329</v>
      </c>
      <c r="B15" s="45" t="str">
        <f aca="false">IF(_Yardımcı!B29=0,"",IF(_Yardımcı!B29&gt;1,"⚠ ÇAKIŞMA - kontrol edin",INDEX('4-Gün-Saat-Derslik Atama'!$B$7:$B$456,_Yardımcı!B40)&amp;" - "&amp;INDEX('4-Gün-Saat-Derslik Atama'!$C$7:$C$456,_Yardımcı!B40)&amp;CHAR(10)&amp;INDEX('4-Gün-Saat-Derslik Atama'!$G$7:$G$456,_Yardımcı!B40)&amp;CHAR(10)&amp;INDEX('4-Gün-Saat-Derslik Atama'!$L$7:$L$456,_Yardımcı!B40)))</f>
        <v/>
      </c>
      <c r="C15" s="45" t="str">
        <f aca="false">IF(_Yardımcı!C29=0,"",IF(_Yardımcı!C29&gt;1,"⚠ ÇAKIŞMA - kontrol edin",INDEX('4-Gün-Saat-Derslik Atama'!$B$7:$B$456,_Yardımcı!C40)&amp;" - "&amp;INDEX('4-Gün-Saat-Derslik Atama'!$C$7:$C$456,_Yardımcı!C40)&amp;CHAR(10)&amp;INDEX('4-Gün-Saat-Derslik Atama'!$G$7:$G$456,_Yardımcı!C40)&amp;CHAR(10)&amp;INDEX('4-Gün-Saat-Derslik Atama'!$L$7:$L$456,_Yardımcı!C40)))</f>
        <v/>
      </c>
      <c r="D15" s="45" t="str">
        <f aca="false">IF(_Yardımcı!D29=0,"",IF(_Yardımcı!D29&gt;1,"⚠ ÇAKIŞMA - kontrol edin",INDEX('4-Gün-Saat-Derslik Atama'!$B$7:$B$456,_Yardımcı!D40)&amp;" - "&amp;INDEX('4-Gün-Saat-Derslik Atama'!$C$7:$C$456,_Yardımcı!D40)&amp;CHAR(10)&amp;INDEX('4-Gün-Saat-Derslik Atama'!$G$7:$G$456,_Yardımcı!D40)&amp;CHAR(10)&amp;INDEX('4-Gün-Saat-Derslik Atama'!$L$7:$L$456,_Yardımcı!D40)))</f>
        <v/>
      </c>
      <c r="E15" s="45" t="str">
        <f aca="false">IF(_Yardımcı!E29=0,"",IF(_Yardımcı!E29&gt;1,"⚠ ÇAKIŞMA - kontrol edin",INDEX('4-Gün-Saat-Derslik Atama'!$B$7:$B$456,_Yardımcı!E40)&amp;" - "&amp;INDEX('4-Gün-Saat-Derslik Atama'!$C$7:$C$456,_Yardımcı!E40)&amp;CHAR(10)&amp;INDEX('4-Gün-Saat-Derslik Atama'!$G$7:$G$456,_Yardımcı!E40)&amp;CHAR(10)&amp;INDEX('4-Gün-Saat-Derslik Atama'!$L$7:$L$456,_Yardımcı!E40)))</f>
        <v/>
      </c>
      <c r="F15" s="45" t="str">
        <f aca="false">IF(_Yardımcı!F29=0,"",IF(_Yardımcı!F29&gt;1,"⚠ ÇAKIŞMA - kontrol edin",INDEX('4-Gün-Saat-Derslik Atama'!$B$7:$B$456,_Yardımcı!F40)&amp;" - "&amp;INDEX('4-Gün-Saat-Derslik Atama'!$C$7:$C$456,_Yardımcı!F40)&amp;CHAR(10)&amp;INDEX('4-Gün-Saat-Derslik Atama'!$G$7:$G$456,_Yardımcı!F40)&amp;CHAR(10)&amp;INDEX('4-Gün-Saat-Derslik Atama'!$L$7:$L$456,_Yardımcı!F40)))</f>
        <v/>
      </c>
    </row>
    <row r="16" customFormat="false" ht="45.75" hidden="false" customHeight="true" outlineLevel="0" collapsed="false">
      <c r="A16" s="44" t="s">
        <v>330</v>
      </c>
      <c r="B16" s="45" t="str">
        <f aca="false">IF(_Yardımcı!B30=0,"",IF(_Yardımcı!B30&gt;1,"⚠ ÇAKIŞMA - kontrol edin",INDEX('4-Gün-Saat-Derslik Atama'!$B$7:$B$456,_Yardımcı!B41)&amp;" - "&amp;INDEX('4-Gün-Saat-Derslik Atama'!$C$7:$C$456,_Yardımcı!B41)&amp;CHAR(10)&amp;INDEX('4-Gün-Saat-Derslik Atama'!$G$7:$G$456,_Yardımcı!B41)&amp;CHAR(10)&amp;INDEX('4-Gün-Saat-Derslik Atama'!$L$7:$L$456,_Yardımcı!B41)))</f>
        <v/>
      </c>
      <c r="C16" s="45" t="str">
        <f aca="false">IF(_Yardımcı!C30=0,"",IF(_Yardımcı!C30&gt;1,"⚠ ÇAKIŞMA - kontrol edin",INDEX('4-Gün-Saat-Derslik Atama'!$B$7:$B$456,_Yardımcı!C41)&amp;" - "&amp;INDEX('4-Gün-Saat-Derslik Atama'!$C$7:$C$456,_Yardımcı!C41)&amp;CHAR(10)&amp;INDEX('4-Gün-Saat-Derslik Atama'!$G$7:$G$456,_Yardımcı!C41)&amp;CHAR(10)&amp;INDEX('4-Gün-Saat-Derslik Atama'!$L$7:$L$456,_Yardımcı!C41)))</f>
        <v/>
      </c>
      <c r="D16" s="45" t="str">
        <f aca="false">IF(_Yardımcı!D30=0,"",IF(_Yardımcı!D30&gt;1,"⚠ ÇAKIŞMA - kontrol edin",INDEX('4-Gün-Saat-Derslik Atama'!$B$7:$B$456,_Yardımcı!D41)&amp;" - "&amp;INDEX('4-Gün-Saat-Derslik Atama'!$C$7:$C$456,_Yardımcı!D41)&amp;CHAR(10)&amp;INDEX('4-Gün-Saat-Derslik Atama'!$G$7:$G$456,_Yardımcı!D41)&amp;CHAR(10)&amp;INDEX('4-Gün-Saat-Derslik Atama'!$L$7:$L$456,_Yardımcı!D41)))</f>
        <v/>
      </c>
      <c r="E16" s="45" t="str">
        <f aca="false">IF(_Yardımcı!E30=0,"",IF(_Yardımcı!E30&gt;1,"⚠ ÇAKIŞMA - kontrol edin",INDEX('4-Gün-Saat-Derslik Atama'!$B$7:$B$456,_Yardımcı!E41)&amp;" - "&amp;INDEX('4-Gün-Saat-Derslik Atama'!$C$7:$C$456,_Yardımcı!E41)&amp;CHAR(10)&amp;INDEX('4-Gün-Saat-Derslik Atama'!$G$7:$G$456,_Yardımcı!E41)&amp;CHAR(10)&amp;INDEX('4-Gün-Saat-Derslik Atama'!$L$7:$L$456,_Yardımcı!E41)))</f>
        <v/>
      </c>
      <c r="F16" s="45" t="str">
        <f aca="false">IF(_Yardımcı!F30=0,"",IF(_Yardımcı!F30&gt;1,"⚠ ÇAKIŞMA - kontrol edin",INDEX('4-Gün-Saat-Derslik Atama'!$B$7:$B$456,_Yardımcı!F41)&amp;" - "&amp;INDEX('4-Gün-Saat-Derslik Atama'!$C$7:$C$456,_Yardımcı!F41)&amp;CHAR(10)&amp;INDEX('4-Gün-Saat-Derslik Atama'!$G$7:$G$456,_Yardımcı!F41)&amp;CHAR(10)&amp;INDEX('4-Gün-Saat-Derslik Atama'!$L$7:$L$456,_Yardımcı!F41)))</f>
        <v/>
      </c>
    </row>
    <row r="17" customFormat="false" ht="45.75" hidden="false" customHeight="true" outlineLevel="0" collapsed="false">
      <c r="A17" s="44" t="s">
        <v>331</v>
      </c>
      <c r="B17" s="45" t="str">
        <f aca="false">IF(_Yardımcı!B31=0,"",IF(_Yardımcı!B31&gt;1,"⚠ ÇAKIŞMA - kontrol edin",INDEX('4-Gün-Saat-Derslik Atama'!$B$7:$B$456,_Yardımcı!B42)&amp;" - "&amp;INDEX('4-Gün-Saat-Derslik Atama'!$C$7:$C$456,_Yardımcı!B42)&amp;CHAR(10)&amp;INDEX('4-Gün-Saat-Derslik Atama'!$G$7:$G$456,_Yardımcı!B42)&amp;CHAR(10)&amp;INDEX('4-Gün-Saat-Derslik Atama'!$L$7:$L$456,_Yardımcı!B42)))</f>
        <v/>
      </c>
      <c r="C17" s="45" t="str">
        <f aca="false">IF(_Yardımcı!C31=0,"",IF(_Yardımcı!C31&gt;1,"⚠ ÇAKIŞMA - kontrol edin",INDEX('4-Gün-Saat-Derslik Atama'!$B$7:$B$456,_Yardımcı!C42)&amp;" - "&amp;INDEX('4-Gün-Saat-Derslik Atama'!$C$7:$C$456,_Yardımcı!C42)&amp;CHAR(10)&amp;INDEX('4-Gün-Saat-Derslik Atama'!$G$7:$G$456,_Yardımcı!C42)&amp;CHAR(10)&amp;INDEX('4-Gün-Saat-Derslik Atama'!$L$7:$L$456,_Yardımcı!C42)))</f>
        <v/>
      </c>
      <c r="D17" s="45" t="str">
        <f aca="false">IF(_Yardımcı!D31=0,"",IF(_Yardımcı!D31&gt;1,"⚠ ÇAKIŞMA - kontrol edin",INDEX('4-Gün-Saat-Derslik Atama'!$B$7:$B$456,_Yardımcı!D42)&amp;" - "&amp;INDEX('4-Gün-Saat-Derslik Atama'!$C$7:$C$456,_Yardımcı!D42)&amp;CHAR(10)&amp;INDEX('4-Gün-Saat-Derslik Atama'!$G$7:$G$456,_Yardımcı!D42)&amp;CHAR(10)&amp;INDEX('4-Gün-Saat-Derslik Atama'!$L$7:$L$456,_Yardımcı!D42)))</f>
        <v/>
      </c>
      <c r="E17" s="45" t="str">
        <f aca="false">IF(_Yardımcı!E31=0,"",IF(_Yardımcı!E31&gt;1,"⚠ ÇAKIŞMA - kontrol edin",INDEX('4-Gün-Saat-Derslik Atama'!$B$7:$B$456,_Yardımcı!E42)&amp;" - "&amp;INDEX('4-Gün-Saat-Derslik Atama'!$C$7:$C$456,_Yardımcı!E42)&amp;CHAR(10)&amp;INDEX('4-Gün-Saat-Derslik Atama'!$G$7:$G$456,_Yardımcı!E42)&amp;CHAR(10)&amp;INDEX('4-Gün-Saat-Derslik Atama'!$L$7:$L$456,_Yardımcı!E42)))</f>
        <v/>
      </c>
      <c r="F17" s="45" t="str">
        <f aca="false">IF(_Yardımcı!F31=0,"",IF(_Yardımcı!F31&gt;1,"⚠ ÇAKIŞMA - kontrol edin",INDEX('4-Gün-Saat-Derslik Atama'!$B$7:$B$456,_Yardımcı!F42)&amp;" - "&amp;INDEX('4-Gün-Saat-Derslik Atama'!$C$7:$C$456,_Yardımcı!F42)&amp;CHAR(10)&amp;INDEX('4-Gün-Saat-Derslik Atama'!$G$7:$G$456,_Yardımcı!F42)&amp;CHAR(10)&amp;INDEX('4-Gün-Saat-Derslik Atama'!$L$7:$L$456,_Yardımcı!F42)))</f>
        <v/>
      </c>
    </row>
    <row r="18" customFormat="false" ht="45.75" hidden="false" customHeight="true" outlineLevel="0" collapsed="false">
      <c r="A18" s="44" t="s">
        <v>332</v>
      </c>
      <c r="B18" s="45" t="str">
        <f aca="false">IF(_Yardımcı!B32=0,"",IF(_Yardımcı!B32&gt;1,"⚠ ÇAKIŞMA - kontrol edin",INDEX('4-Gün-Saat-Derslik Atama'!$B$7:$B$456,_Yardımcı!B43)&amp;" - "&amp;INDEX('4-Gün-Saat-Derslik Atama'!$C$7:$C$456,_Yardımcı!B43)&amp;CHAR(10)&amp;INDEX('4-Gün-Saat-Derslik Atama'!$G$7:$G$456,_Yardımcı!B43)&amp;CHAR(10)&amp;INDEX('4-Gün-Saat-Derslik Atama'!$L$7:$L$456,_Yardımcı!B43)))</f>
        <v/>
      </c>
      <c r="C18" s="45" t="str">
        <f aca="false">IF(_Yardımcı!C32=0,"",IF(_Yardımcı!C32&gt;1,"⚠ ÇAKIŞMA - kontrol edin",INDEX('4-Gün-Saat-Derslik Atama'!$B$7:$B$456,_Yardımcı!C43)&amp;" - "&amp;INDEX('4-Gün-Saat-Derslik Atama'!$C$7:$C$456,_Yardımcı!C43)&amp;CHAR(10)&amp;INDEX('4-Gün-Saat-Derslik Atama'!$G$7:$G$456,_Yardımcı!C43)&amp;CHAR(10)&amp;INDEX('4-Gün-Saat-Derslik Atama'!$L$7:$L$456,_Yardımcı!C43)))</f>
        <v/>
      </c>
      <c r="D18" s="45" t="str">
        <f aca="false">IF(_Yardımcı!D32=0,"",IF(_Yardımcı!D32&gt;1,"⚠ ÇAKIŞMA - kontrol edin",INDEX('4-Gün-Saat-Derslik Atama'!$B$7:$B$456,_Yardımcı!D43)&amp;" - "&amp;INDEX('4-Gün-Saat-Derslik Atama'!$C$7:$C$456,_Yardımcı!D43)&amp;CHAR(10)&amp;INDEX('4-Gün-Saat-Derslik Atama'!$G$7:$G$456,_Yardımcı!D43)&amp;CHAR(10)&amp;INDEX('4-Gün-Saat-Derslik Atama'!$L$7:$L$456,_Yardımcı!D43)))</f>
        <v/>
      </c>
      <c r="E18" s="45" t="str">
        <f aca="false">IF(_Yardımcı!E32=0,"",IF(_Yardımcı!E32&gt;1,"⚠ ÇAKIŞMA - kontrol edin",INDEX('4-Gün-Saat-Derslik Atama'!$B$7:$B$456,_Yardımcı!E43)&amp;" - "&amp;INDEX('4-Gün-Saat-Derslik Atama'!$C$7:$C$456,_Yardımcı!E43)&amp;CHAR(10)&amp;INDEX('4-Gün-Saat-Derslik Atama'!$G$7:$G$456,_Yardımcı!E43)&amp;CHAR(10)&amp;INDEX('4-Gün-Saat-Derslik Atama'!$L$7:$L$456,_Yardımcı!E43)))</f>
        <v/>
      </c>
      <c r="F18" s="45" t="str">
        <f aca="false">IF(_Yardımcı!F32=0,"",IF(_Yardımcı!F32&gt;1,"⚠ ÇAKIŞMA - kontrol edin",INDEX('4-Gün-Saat-Derslik Atama'!$B$7:$B$456,_Yardımcı!F43)&amp;" - "&amp;INDEX('4-Gün-Saat-Derslik Atama'!$C$7:$C$456,_Yardımcı!F43)&amp;CHAR(10)&amp;INDEX('4-Gün-Saat-Derslik Atama'!$G$7:$G$456,_Yardımcı!F43)&amp;CHAR(10)&amp;INDEX('4-Gün-Saat-Derslik Atama'!$L$7:$L$456,_Yardımcı!F43)))</f>
        <v/>
      </c>
    </row>
    <row r="19" customFormat="false" ht="45.75" hidden="false" customHeight="true" outlineLevel="0" collapsed="false">
      <c r="A19" s="44" t="s">
        <v>333</v>
      </c>
      <c r="B19" s="45" t="str">
        <f aca="false">IF(_Yardımcı!B33=0,"",IF(_Yardımcı!B33&gt;1,"⚠ ÇAKIŞMA - kontrol edin",INDEX('4-Gün-Saat-Derslik Atama'!$B$7:$B$456,_Yardımcı!B44)&amp;" - "&amp;INDEX('4-Gün-Saat-Derslik Atama'!$C$7:$C$456,_Yardımcı!B44)&amp;CHAR(10)&amp;INDEX('4-Gün-Saat-Derslik Atama'!$G$7:$G$456,_Yardımcı!B44)&amp;CHAR(10)&amp;INDEX('4-Gün-Saat-Derslik Atama'!$L$7:$L$456,_Yardımcı!B44)))</f>
        <v/>
      </c>
      <c r="C19" s="45" t="str">
        <f aca="false">IF(_Yardımcı!C33=0,"",IF(_Yardımcı!C33&gt;1,"⚠ ÇAKIŞMA - kontrol edin",INDEX('4-Gün-Saat-Derslik Atama'!$B$7:$B$456,_Yardımcı!C44)&amp;" - "&amp;INDEX('4-Gün-Saat-Derslik Atama'!$C$7:$C$456,_Yardımcı!C44)&amp;CHAR(10)&amp;INDEX('4-Gün-Saat-Derslik Atama'!$G$7:$G$456,_Yardımcı!C44)&amp;CHAR(10)&amp;INDEX('4-Gün-Saat-Derslik Atama'!$L$7:$L$456,_Yardımcı!C44)))</f>
        <v/>
      </c>
      <c r="D19" s="45" t="str">
        <f aca="false">IF(_Yardımcı!D33=0,"",IF(_Yardımcı!D33&gt;1,"⚠ ÇAKIŞMA - kontrol edin",INDEX('4-Gün-Saat-Derslik Atama'!$B$7:$B$456,_Yardımcı!D44)&amp;" - "&amp;INDEX('4-Gün-Saat-Derslik Atama'!$C$7:$C$456,_Yardımcı!D44)&amp;CHAR(10)&amp;INDEX('4-Gün-Saat-Derslik Atama'!$G$7:$G$456,_Yardımcı!D44)&amp;CHAR(10)&amp;INDEX('4-Gün-Saat-Derslik Atama'!$L$7:$L$456,_Yardımcı!D44)))</f>
        <v/>
      </c>
      <c r="E19" s="45" t="str">
        <f aca="false">IF(_Yardımcı!E33=0,"",IF(_Yardımcı!E33&gt;1,"⚠ ÇAKIŞMA - kontrol edin",INDEX('4-Gün-Saat-Derslik Atama'!$B$7:$B$456,_Yardımcı!E44)&amp;" - "&amp;INDEX('4-Gün-Saat-Derslik Atama'!$C$7:$C$456,_Yardımcı!E44)&amp;CHAR(10)&amp;INDEX('4-Gün-Saat-Derslik Atama'!$G$7:$G$456,_Yardımcı!E44)&amp;CHAR(10)&amp;INDEX('4-Gün-Saat-Derslik Atama'!$L$7:$L$456,_Yardımcı!E44)))</f>
        <v/>
      </c>
      <c r="F19" s="45" t="str">
        <f aca="false">IF(_Yardımcı!F33=0,"",IF(_Yardımcı!F33&gt;1,"⚠ ÇAKIŞMA - kontrol edin",INDEX('4-Gün-Saat-Derslik Atama'!$B$7:$B$456,_Yardımcı!F44)&amp;" - "&amp;INDEX('4-Gün-Saat-Derslik Atama'!$C$7:$C$456,_Yardımcı!F44)&amp;CHAR(10)&amp;INDEX('4-Gün-Saat-Derslik Atama'!$G$7:$G$456,_Yardımcı!F44)&amp;CHAR(10)&amp;INDEX('4-Gün-Saat-Derslik Atama'!$L$7:$L$456,_Yardımcı!F44)))</f>
        <v/>
      </c>
    </row>
    <row r="21" customFormat="false" ht="18" hidden="false" customHeight="true" outlineLevel="0" collapsed="false">
      <c r="A21" s="46" t="s">
        <v>354</v>
      </c>
      <c r="B21" s="46"/>
      <c r="C21" s="46"/>
      <c r="E21" s="47" t="s">
        <v>355</v>
      </c>
      <c r="F21" s="47"/>
    </row>
  </sheetData>
  <mergeCells count="9">
    <mergeCell ref="A1:F1"/>
    <mergeCell ref="A2:F2"/>
    <mergeCell ref="A3:F3"/>
    <mergeCell ref="A4:F4"/>
    <mergeCell ref="A5:F5"/>
    <mergeCell ref="A6:F6"/>
    <mergeCell ref="A7:F7"/>
    <mergeCell ref="A21:C21"/>
    <mergeCell ref="E21:F21"/>
  </mergeCells>
  <conditionalFormatting sqref="B10:F19">
    <cfRule type="expression" priority="2" aboveAverage="0" equalAverage="0" bottom="0" percent="0" rank="0" text="" dxfId="6">
      <formula>LEFT(B10,1)="⚠"</formula>
    </cfRule>
  </conditionalFormatting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324F"/>
    <pageSetUpPr fitToPage="tru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6" min="2" style="0" width="30"/>
  </cols>
  <sheetData>
    <row r="1" customFormat="false" ht="24" hidden="false" customHeight="true" outlineLevel="0" collapsed="false">
      <c r="A1" s="30" t="s">
        <v>341</v>
      </c>
      <c r="B1" s="30"/>
      <c r="C1" s="30"/>
      <c r="D1" s="30"/>
      <c r="E1" s="30"/>
      <c r="F1" s="30"/>
    </row>
    <row r="2" customFormat="false" ht="24" hidden="false" customHeight="true" outlineLevel="0" collapsed="false">
      <c r="A2" s="40" t="s">
        <v>342</v>
      </c>
      <c r="B2" s="40"/>
      <c r="C2" s="40"/>
      <c r="D2" s="40"/>
      <c r="E2" s="40"/>
      <c r="F2" s="40"/>
    </row>
    <row r="3" customFormat="false" ht="24" hidden="false" customHeight="true" outlineLevel="0" collapsed="false">
      <c r="A3" s="30" t="s">
        <v>343</v>
      </c>
      <c r="B3" s="30"/>
      <c r="C3" s="30"/>
      <c r="D3" s="30"/>
      <c r="E3" s="30"/>
      <c r="F3" s="30"/>
    </row>
    <row r="4" customFormat="false" ht="24" hidden="false" customHeight="true" outlineLevel="0" collapsed="false">
      <c r="A4" s="41" t="s">
        <v>344</v>
      </c>
      <c r="B4" s="41"/>
      <c r="C4" s="41"/>
      <c r="D4" s="41"/>
      <c r="E4" s="41"/>
      <c r="F4" s="41"/>
    </row>
    <row r="5" customFormat="false" ht="24" hidden="false" customHeight="true" outlineLevel="0" collapsed="false">
      <c r="A5" s="41" t="s">
        <v>345</v>
      </c>
      <c r="B5" s="41"/>
      <c r="C5" s="41"/>
      <c r="D5" s="41"/>
      <c r="E5" s="41"/>
      <c r="F5" s="41"/>
    </row>
    <row r="6" customFormat="false" ht="27.75" hidden="false" customHeight="true" outlineLevel="0" collapsed="false">
      <c r="A6" s="23" t="s">
        <v>346</v>
      </c>
      <c r="B6" s="23"/>
      <c r="C6" s="23"/>
      <c r="D6" s="23"/>
      <c r="E6" s="23"/>
      <c r="F6" s="23"/>
    </row>
    <row r="7" customFormat="false" ht="24" hidden="false" customHeight="true" outlineLevel="0" collapsed="false">
      <c r="A7" s="42" t="s">
        <v>357</v>
      </c>
      <c r="B7" s="42"/>
      <c r="C7" s="42"/>
      <c r="D7" s="42"/>
      <c r="E7" s="42"/>
      <c r="F7" s="42"/>
    </row>
    <row r="9" customFormat="false" ht="19.5" hidden="false" customHeight="true" outlineLevel="0" collapsed="false">
      <c r="A9" s="16" t="s">
        <v>348</v>
      </c>
      <c r="B9" s="43" t="s">
        <v>349</v>
      </c>
      <c r="C9" s="43" t="s">
        <v>350</v>
      </c>
      <c r="D9" s="43" t="s">
        <v>351</v>
      </c>
      <c r="E9" s="43" t="s">
        <v>352</v>
      </c>
      <c r="F9" s="43" t="s">
        <v>353</v>
      </c>
    </row>
    <row r="10" customFormat="false" ht="45.75" hidden="false" customHeight="true" outlineLevel="0" collapsed="false">
      <c r="A10" s="44" t="s">
        <v>324</v>
      </c>
      <c r="B10" s="45" t="str">
        <f aca="false">IF(_Yardımcı!B46=0,"",IF(_Yardımcı!B46&gt;1,"⚠ ÇAKIŞMA - kontrol edin",INDEX('4-Gün-Saat-Derslik Atama'!$B$7:$B$456,_Yardımcı!B57)&amp;" - "&amp;INDEX('4-Gün-Saat-Derslik Atama'!$C$7:$C$456,_Yardımcı!B57)&amp;CHAR(10)&amp;INDEX('4-Gün-Saat-Derslik Atama'!$G$7:$G$456,_Yardımcı!B57)&amp;CHAR(10)&amp;INDEX('4-Gün-Saat-Derslik Atama'!$L$7:$L$456,_Yardımcı!B57)))</f>
        <v/>
      </c>
      <c r="C10" s="45" t="str">
        <f aca="false">IF(_Yardımcı!C46=0,"",IF(_Yardımcı!C46&gt;1,"⚠ ÇAKIŞMA - kontrol edin",INDEX('4-Gün-Saat-Derslik Atama'!$B$7:$B$456,_Yardımcı!C57)&amp;" - "&amp;INDEX('4-Gün-Saat-Derslik Atama'!$C$7:$C$456,_Yardımcı!C57)&amp;CHAR(10)&amp;INDEX('4-Gün-Saat-Derslik Atama'!$G$7:$G$456,_Yardımcı!C57)&amp;CHAR(10)&amp;INDEX('4-Gün-Saat-Derslik Atama'!$L$7:$L$456,_Yardımcı!C57)))</f>
        <v/>
      </c>
      <c r="D10" s="45" t="str">
        <f aca="false">IF(_Yardımcı!D46=0,"",IF(_Yardımcı!D46&gt;1,"⚠ ÇAKIŞMA - kontrol edin",INDEX('4-Gün-Saat-Derslik Atama'!$B$7:$B$456,_Yardımcı!D57)&amp;" - "&amp;INDEX('4-Gün-Saat-Derslik Atama'!$C$7:$C$456,_Yardımcı!D57)&amp;CHAR(10)&amp;INDEX('4-Gün-Saat-Derslik Atama'!$G$7:$G$456,_Yardımcı!D57)&amp;CHAR(10)&amp;INDEX('4-Gün-Saat-Derslik Atama'!$L$7:$L$456,_Yardımcı!D57)))</f>
        <v/>
      </c>
      <c r="E10" s="45" t="str">
        <f aca="false">IF(_Yardımcı!E46=0,"",IF(_Yardımcı!E46&gt;1,"⚠ ÇAKIŞMA - kontrol edin",INDEX('4-Gün-Saat-Derslik Atama'!$B$7:$B$456,_Yardımcı!E57)&amp;" - "&amp;INDEX('4-Gün-Saat-Derslik Atama'!$C$7:$C$456,_Yardımcı!E57)&amp;CHAR(10)&amp;INDEX('4-Gün-Saat-Derslik Atama'!$G$7:$G$456,_Yardımcı!E57)&amp;CHAR(10)&amp;INDEX('4-Gün-Saat-Derslik Atama'!$L$7:$L$456,_Yardımcı!E57)))</f>
        <v/>
      </c>
      <c r="F10" s="45" t="str">
        <f aca="false">IF(_Yardımcı!F46=0,"",IF(_Yardımcı!F46&gt;1,"⚠ ÇAKIŞMA - kontrol edin",INDEX('4-Gün-Saat-Derslik Atama'!$B$7:$B$456,_Yardımcı!F57)&amp;" - "&amp;INDEX('4-Gün-Saat-Derslik Atama'!$C$7:$C$456,_Yardımcı!F57)&amp;CHAR(10)&amp;INDEX('4-Gün-Saat-Derslik Atama'!$G$7:$G$456,_Yardımcı!F57)&amp;CHAR(10)&amp;INDEX('4-Gün-Saat-Derslik Atama'!$L$7:$L$456,_Yardımcı!F57)))</f>
        <v/>
      </c>
    </row>
    <row r="11" customFormat="false" ht="45.75" hidden="false" customHeight="true" outlineLevel="0" collapsed="false">
      <c r="A11" s="44" t="s">
        <v>325</v>
      </c>
      <c r="B11" s="45" t="str">
        <f aca="false">IF(_Yardımcı!B47=0,"",IF(_Yardımcı!B47&gt;1,"⚠ ÇAKIŞMA - kontrol edin",INDEX('4-Gün-Saat-Derslik Atama'!$B$7:$B$456,_Yardımcı!B58)&amp;" - "&amp;INDEX('4-Gün-Saat-Derslik Atama'!$C$7:$C$456,_Yardımcı!B58)&amp;CHAR(10)&amp;INDEX('4-Gün-Saat-Derslik Atama'!$G$7:$G$456,_Yardımcı!B58)&amp;CHAR(10)&amp;INDEX('4-Gün-Saat-Derslik Atama'!$L$7:$L$456,_Yardımcı!B58)))</f>
        <v/>
      </c>
      <c r="C11" s="45" t="str">
        <f aca="false">IF(_Yardımcı!C47=0,"",IF(_Yardımcı!C47&gt;1,"⚠ ÇAKIŞMA - kontrol edin",INDEX('4-Gün-Saat-Derslik Atama'!$B$7:$B$456,_Yardımcı!C58)&amp;" - "&amp;INDEX('4-Gün-Saat-Derslik Atama'!$C$7:$C$456,_Yardımcı!C58)&amp;CHAR(10)&amp;INDEX('4-Gün-Saat-Derslik Atama'!$G$7:$G$456,_Yardımcı!C58)&amp;CHAR(10)&amp;INDEX('4-Gün-Saat-Derslik Atama'!$L$7:$L$456,_Yardımcı!C58)))</f>
        <v/>
      </c>
      <c r="D11" s="45" t="str">
        <f aca="false">IF(_Yardımcı!D47=0,"",IF(_Yardımcı!D47&gt;1,"⚠ ÇAKIŞMA - kontrol edin",INDEX('4-Gün-Saat-Derslik Atama'!$B$7:$B$456,_Yardımcı!D58)&amp;" - "&amp;INDEX('4-Gün-Saat-Derslik Atama'!$C$7:$C$456,_Yardımcı!D58)&amp;CHAR(10)&amp;INDEX('4-Gün-Saat-Derslik Atama'!$G$7:$G$456,_Yardımcı!D58)&amp;CHAR(10)&amp;INDEX('4-Gün-Saat-Derslik Atama'!$L$7:$L$456,_Yardımcı!D58)))</f>
        <v/>
      </c>
      <c r="E11" s="45" t="str">
        <f aca="false">IF(_Yardımcı!E47=0,"",IF(_Yardımcı!E47&gt;1,"⚠ ÇAKIŞMA - kontrol edin",INDEX('4-Gün-Saat-Derslik Atama'!$B$7:$B$456,_Yardımcı!E58)&amp;" - "&amp;INDEX('4-Gün-Saat-Derslik Atama'!$C$7:$C$456,_Yardımcı!E58)&amp;CHAR(10)&amp;INDEX('4-Gün-Saat-Derslik Atama'!$G$7:$G$456,_Yardımcı!E58)&amp;CHAR(10)&amp;INDEX('4-Gün-Saat-Derslik Atama'!$L$7:$L$456,_Yardımcı!E58)))</f>
        <v/>
      </c>
      <c r="F11" s="45" t="str">
        <f aca="false">IF(_Yardımcı!F47=0,"",IF(_Yardımcı!F47&gt;1,"⚠ ÇAKIŞMA - kontrol edin",INDEX('4-Gün-Saat-Derslik Atama'!$B$7:$B$456,_Yardımcı!F58)&amp;" - "&amp;INDEX('4-Gün-Saat-Derslik Atama'!$C$7:$C$456,_Yardımcı!F58)&amp;CHAR(10)&amp;INDEX('4-Gün-Saat-Derslik Atama'!$G$7:$G$456,_Yardımcı!F58)&amp;CHAR(10)&amp;INDEX('4-Gün-Saat-Derslik Atama'!$L$7:$L$456,_Yardımcı!F58)))</f>
        <v/>
      </c>
    </row>
    <row r="12" customFormat="false" ht="45.75" hidden="false" customHeight="true" outlineLevel="0" collapsed="false">
      <c r="A12" s="44" t="s">
        <v>326</v>
      </c>
      <c r="B12" s="45" t="str">
        <f aca="false">IF(_Yardımcı!B48=0,"",IF(_Yardımcı!B48&gt;1,"⚠ ÇAKIŞMA - kontrol edin",INDEX('4-Gün-Saat-Derslik Atama'!$B$7:$B$456,_Yardımcı!B59)&amp;" - "&amp;INDEX('4-Gün-Saat-Derslik Atama'!$C$7:$C$456,_Yardımcı!B59)&amp;CHAR(10)&amp;INDEX('4-Gün-Saat-Derslik Atama'!$G$7:$G$456,_Yardımcı!B59)&amp;CHAR(10)&amp;INDEX('4-Gün-Saat-Derslik Atama'!$L$7:$L$456,_Yardımcı!B59)))</f>
        <v/>
      </c>
      <c r="C12" s="45" t="str">
        <f aca="false">IF(_Yardımcı!C48=0,"",IF(_Yardımcı!C48&gt;1,"⚠ ÇAKIŞMA - kontrol edin",INDEX('4-Gün-Saat-Derslik Atama'!$B$7:$B$456,_Yardımcı!C59)&amp;" - "&amp;INDEX('4-Gün-Saat-Derslik Atama'!$C$7:$C$456,_Yardımcı!C59)&amp;CHAR(10)&amp;INDEX('4-Gün-Saat-Derslik Atama'!$G$7:$G$456,_Yardımcı!C59)&amp;CHAR(10)&amp;INDEX('4-Gün-Saat-Derslik Atama'!$L$7:$L$456,_Yardımcı!C59)))</f>
        <v/>
      </c>
      <c r="D12" s="45" t="str">
        <f aca="false">IF(_Yardımcı!D48=0,"",IF(_Yardımcı!D48&gt;1,"⚠ ÇAKIŞMA - kontrol edin",INDEX('4-Gün-Saat-Derslik Atama'!$B$7:$B$456,_Yardımcı!D59)&amp;" - "&amp;INDEX('4-Gün-Saat-Derslik Atama'!$C$7:$C$456,_Yardımcı!D59)&amp;CHAR(10)&amp;INDEX('4-Gün-Saat-Derslik Atama'!$G$7:$G$456,_Yardımcı!D59)&amp;CHAR(10)&amp;INDEX('4-Gün-Saat-Derslik Atama'!$L$7:$L$456,_Yardımcı!D59)))</f>
        <v/>
      </c>
      <c r="E12" s="45" t="str">
        <f aca="false">IF(_Yardımcı!E48=0,"",IF(_Yardımcı!E48&gt;1,"⚠ ÇAKIŞMA - kontrol edin",INDEX('4-Gün-Saat-Derslik Atama'!$B$7:$B$456,_Yardımcı!E59)&amp;" - "&amp;INDEX('4-Gün-Saat-Derslik Atama'!$C$7:$C$456,_Yardımcı!E59)&amp;CHAR(10)&amp;INDEX('4-Gün-Saat-Derslik Atama'!$G$7:$G$456,_Yardımcı!E59)&amp;CHAR(10)&amp;INDEX('4-Gün-Saat-Derslik Atama'!$L$7:$L$456,_Yardımcı!E59)))</f>
        <v/>
      </c>
      <c r="F12" s="45" t="str">
        <f aca="false">IF(_Yardımcı!F48=0,"",IF(_Yardımcı!F48&gt;1,"⚠ ÇAKIŞMA - kontrol edin",INDEX('4-Gün-Saat-Derslik Atama'!$B$7:$B$456,_Yardımcı!F59)&amp;" - "&amp;INDEX('4-Gün-Saat-Derslik Atama'!$C$7:$C$456,_Yardımcı!F59)&amp;CHAR(10)&amp;INDEX('4-Gün-Saat-Derslik Atama'!$G$7:$G$456,_Yardımcı!F59)&amp;CHAR(10)&amp;INDEX('4-Gün-Saat-Derslik Atama'!$L$7:$L$456,_Yardımcı!F59)))</f>
        <v/>
      </c>
    </row>
    <row r="13" customFormat="false" ht="45.75" hidden="false" customHeight="true" outlineLevel="0" collapsed="false">
      <c r="A13" s="44" t="s">
        <v>327</v>
      </c>
      <c r="B13" s="45" t="str">
        <f aca="false">IF(_Yardımcı!B49=0,"",IF(_Yardımcı!B49&gt;1,"⚠ ÇAKIŞMA - kontrol edin",INDEX('4-Gün-Saat-Derslik Atama'!$B$7:$B$456,_Yardımcı!B60)&amp;" - "&amp;INDEX('4-Gün-Saat-Derslik Atama'!$C$7:$C$456,_Yardımcı!B60)&amp;CHAR(10)&amp;INDEX('4-Gün-Saat-Derslik Atama'!$G$7:$G$456,_Yardımcı!B60)&amp;CHAR(10)&amp;INDEX('4-Gün-Saat-Derslik Atama'!$L$7:$L$456,_Yardımcı!B60)))</f>
        <v/>
      </c>
      <c r="C13" s="45" t="str">
        <f aca="false">IF(_Yardımcı!C49=0,"",IF(_Yardımcı!C49&gt;1,"⚠ ÇAKIŞMA - kontrol edin",INDEX('4-Gün-Saat-Derslik Atama'!$B$7:$B$456,_Yardımcı!C60)&amp;" - "&amp;INDEX('4-Gün-Saat-Derslik Atama'!$C$7:$C$456,_Yardımcı!C60)&amp;CHAR(10)&amp;INDEX('4-Gün-Saat-Derslik Atama'!$G$7:$G$456,_Yardımcı!C60)&amp;CHAR(10)&amp;INDEX('4-Gün-Saat-Derslik Atama'!$L$7:$L$456,_Yardımcı!C60)))</f>
        <v/>
      </c>
      <c r="D13" s="45" t="str">
        <f aca="false">IF(_Yardımcı!D49=0,"",IF(_Yardımcı!D49&gt;1,"⚠ ÇAKIŞMA - kontrol edin",INDEX('4-Gün-Saat-Derslik Atama'!$B$7:$B$456,_Yardımcı!D60)&amp;" - "&amp;INDEX('4-Gün-Saat-Derslik Atama'!$C$7:$C$456,_Yardımcı!D60)&amp;CHAR(10)&amp;INDEX('4-Gün-Saat-Derslik Atama'!$G$7:$G$456,_Yardımcı!D60)&amp;CHAR(10)&amp;INDEX('4-Gün-Saat-Derslik Atama'!$L$7:$L$456,_Yardımcı!D60)))</f>
        <v/>
      </c>
      <c r="E13" s="45" t="str">
        <f aca="false">IF(_Yardımcı!E49=0,"",IF(_Yardımcı!E49&gt;1,"⚠ ÇAKIŞMA - kontrol edin",INDEX('4-Gün-Saat-Derslik Atama'!$B$7:$B$456,_Yardımcı!E60)&amp;" - "&amp;INDEX('4-Gün-Saat-Derslik Atama'!$C$7:$C$456,_Yardımcı!E60)&amp;CHAR(10)&amp;INDEX('4-Gün-Saat-Derslik Atama'!$G$7:$G$456,_Yardımcı!E60)&amp;CHAR(10)&amp;INDEX('4-Gün-Saat-Derslik Atama'!$L$7:$L$456,_Yardımcı!E60)))</f>
        <v/>
      </c>
      <c r="F13" s="45" t="str">
        <f aca="false">IF(_Yardımcı!F49=0,"",IF(_Yardımcı!F49&gt;1,"⚠ ÇAKIŞMA - kontrol edin",INDEX('4-Gün-Saat-Derslik Atama'!$B$7:$B$456,_Yardımcı!F60)&amp;" - "&amp;INDEX('4-Gün-Saat-Derslik Atama'!$C$7:$C$456,_Yardımcı!F60)&amp;CHAR(10)&amp;INDEX('4-Gün-Saat-Derslik Atama'!$G$7:$G$456,_Yardımcı!F60)&amp;CHAR(10)&amp;INDEX('4-Gün-Saat-Derslik Atama'!$L$7:$L$456,_Yardımcı!F60)))</f>
        <v/>
      </c>
    </row>
    <row r="14" customFormat="false" ht="45.75" hidden="false" customHeight="true" outlineLevel="0" collapsed="false">
      <c r="A14" s="44" t="s">
        <v>328</v>
      </c>
      <c r="B14" s="45" t="str">
        <f aca="false">IF(_Yardımcı!B50=0,"",IF(_Yardımcı!B50&gt;1,"⚠ ÇAKIŞMA - kontrol edin",INDEX('4-Gün-Saat-Derslik Atama'!$B$7:$B$456,_Yardımcı!B61)&amp;" - "&amp;INDEX('4-Gün-Saat-Derslik Atama'!$C$7:$C$456,_Yardımcı!B61)&amp;CHAR(10)&amp;INDEX('4-Gün-Saat-Derslik Atama'!$G$7:$G$456,_Yardımcı!B61)&amp;CHAR(10)&amp;INDEX('4-Gün-Saat-Derslik Atama'!$L$7:$L$456,_Yardımcı!B61)))</f>
        <v/>
      </c>
      <c r="C14" s="45" t="str">
        <f aca="false">IF(_Yardımcı!C50=0,"",IF(_Yardımcı!C50&gt;1,"⚠ ÇAKIŞMA - kontrol edin",INDEX('4-Gün-Saat-Derslik Atama'!$B$7:$B$456,_Yardımcı!C61)&amp;" - "&amp;INDEX('4-Gün-Saat-Derslik Atama'!$C$7:$C$456,_Yardımcı!C61)&amp;CHAR(10)&amp;INDEX('4-Gün-Saat-Derslik Atama'!$G$7:$G$456,_Yardımcı!C61)&amp;CHAR(10)&amp;INDEX('4-Gün-Saat-Derslik Atama'!$L$7:$L$456,_Yardımcı!C61)))</f>
        <v/>
      </c>
      <c r="D14" s="45" t="str">
        <f aca="false">IF(_Yardımcı!D50=0,"",IF(_Yardımcı!D50&gt;1,"⚠ ÇAKIŞMA - kontrol edin",INDEX('4-Gün-Saat-Derslik Atama'!$B$7:$B$456,_Yardımcı!D61)&amp;" - "&amp;INDEX('4-Gün-Saat-Derslik Atama'!$C$7:$C$456,_Yardımcı!D61)&amp;CHAR(10)&amp;INDEX('4-Gün-Saat-Derslik Atama'!$G$7:$G$456,_Yardımcı!D61)&amp;CHAR(10)&amp;INDEX('4-Gün-Saat-Derslik Atama'!$L$7:$L$456,_Yardımcı!D61)))</f>
        <v/>
      </c>
      <c r="E14" s="45" t="str">
        <f aca="false">IF(_Yardımcı!E50=0,"",IF(_Yardımcı!E50&gt;1,"⚠ ÇAKIŞMA - kontrol edin",INDEX('4-Gün-Saat-Derslik Atama'!$B$7:$B$456,_Yardımcı!E61)&amp;" - "&amp;INDEX('4-Gün-Saat-Derslik Atama'!$C$7:$C$456,_Yardımcı!E61)&amp;CHAR(10)&amp;INDEX('4-Gün-Saat-Derslik Atama'!$G$7:$G$456,_Yardımcı!E61)&amp;CHAR(10)&amp;INDEX('4-Gün-Saat-Derslik Atama'!$L$7:$L$456,_Yardımcı!E61)))</f>
        <v/>
      </c>
      <c r="F14" s="45" t="str">
        <f aca="false">IF(_Yardımcı!F50=0,"",IF(_Yardımcı!F50&gt;1,"⚠ ÇAKIŞMA - kontrol edin",INDEX('4-Gün-Saat-Derslik Atama'!$B$7:$B$456,_Yardımcı!F61)&amp;" - "&amp;INDEX('4-Gün-Saat-Derslik Atama'!$C$7:$C$456,_Yardımcı!F61)&amp;CHAR(10)&amp;INDEX('4-Gün-Saat-Derslik Atama'!$G$7:$G$456,_Yardımcı!F61)&amp;CHAR(10)&amp;INDEX('4-Gün-Saat-Derslik Atama'!$L$7:$L$456,_Yardımcı!F61)))</f>
        <v/>
      </c>
    </row>
    <row r="15" customFormat="false" ht="45.75" hidden="false" customHeight="true" outlineLevel="0" collapsed="false">
      <c r="A15" s="44" t="s">
        <v>329</v>
      </c>
      <c r="B15" s="45" t="str">
        <f aca="false">IF(_Yardımcı!B51=0,"",IF(_Yardımcı!B51&gt;1,"⚠ ÇAKIŞMA - kontrol edin",INDEX('4-Gün-Saat-Derslik Atama'!$B$7:$B$456,_Yardımcı!B62)&amp;" - "&amp;INDEX('4-Gün-Saat-Derslik Atama'!$C$7:$C$456,_Yardımcı!B62)&amp;CHAR(10)&amp;INDEX('4-Gün-Saat-Derslik Atama'!$G$7:$G$456,_Yardımcı!B62)&amp;CHAR(10)&amp;INDEX('4-Gün-Saat-Derslik Atama'!$L$7:$L$456,_Yardımcı!B62)))</f>
        <v/>
      </c>
      <c r="C15" s="45" t="str">
        <f aca="false">IF(_Yardımcı!C51=0,"",IF(_Yardımcı!C51&gt;1,"⚠ ÇAKIŞMA - kontrol edin",INDEX('4-Gün-Saat-Derslik Atama'!$B$7:$B$456,_Yardımcı!C62)&amp;" - "&amp;INDEX('4-Gün-Saat-Derslik Atama'!$C$7:$C$456,_Yardımcı!C62)&amp;CHAR(10)&amp;INDEX('4-Gün-Saat-Derslik Atama'!$G$7:$G$456,_Yardımcı!C62)&amp;CHAR(10)&amp;INDEX('4-Gün-Saat-Derslik Atama'!$L$7:$L$456,_Yardımcı!C62)))</f>
        <v/>
      </c>
      <c r="D15" s="45" t="str">
        <f aca="false">IF(_Yardımcı!D51=0,"",IF(_Yardımcı!D51&gt;1,"⚠ ÇAKIŞMA - kontrol edin",INDEX('4-Gün-Saat-Derslik Atama'!$B$7:$B$456,_Yardımcı!D62)&amp;" - "&amp;INDEX('4-Gün-Saat-Derslik Atama'!$C$7:$C$456,_Yardımcı!D62)&amp;CHAR(10)&amp;INDEX('4-Gün-Saat-Derslik Atama'!$G$7:$G$456,_Yardımcı!D62)&amp;CHAR(10)&amp;INDEX('4-Gün-Saat-Derslik Atama'!$L$7:$L$456,_Yardımcı!D62)))</f>
        <v/>
      </c>
      <c r="E15" s="45" t="str">
        <f aca="false">IF(_Yardımcı!E51=0,"",IF(_Yardımcı!E51&gt;1,"⚠ ÇAKIŞMA - kontrol edin",INDEX('4-Gün-Saat-Derslik Atama'!$B$7:$B$456,_Yardımcı!E62)&amp;" - "&amp;INDEX('4-Gün-Saat-Derslik Atama'!$C$7:$C$456,_Yardımcı!E62)&amp;CHAR(10)&amp;INDEX('4-Gün-Saat-Derslik Atama'!$G$7:$G$456,_Yardımcı!E62)&amp;CHAR(10)&amp;INDEX('4-Gün-Saat-Derslik Atama'!$L$7:$L$456,_Yardımcı!E62)))</f>
        <v/>
      </c>
      <c r="F15" s="45" t="str">
        <f aca="false">IF(_Yardımcı!F51=0,"",IF(_Yardımcı!F51&gt;1,"⚠ ÇAKIŞMA - kontrol edin",INDEX('4-Gün-Saat-Derslik Atama'!$B$7:$B$456,_Yardımcı!F62)&amp;" - "&amp;INDEX('4-Gün-Saat-Derslik Atama'!$C$7:$C$456,_Yardımcı!F62)&amp;CHAR(10)&amp;INDEX('4-Gün-Saat-Derslik Atama'!$G$7:$G$456,_Yardımcı!F62)&amp;CHAR(10)&amp;INDEX('4-Gün-Saat-Derslik Atama'!$L$7:$L$456,_Yardımcı!F62)))</f>
        <v/>
      </c>
    </row>
    <row r="16" customFormat="false" ht="45.75" hidden="false" customHeight="true" outlineLevel="0" collapsed="false">
      <c r="A16" s="44" t="s">
        <v>330</v>
      </c>
      <c r="B16" s="45" t="str">
        <f aca="false">IF(_Yardımcı!B52=0,"",IF(_Yardımcı!B52&gt;1,"⚠ ÇAKIŞMA - kontrol edin",INDEX('4-Gün-Saat-Derslik Atama'!$B$7:$B$456,_Yardımcı!B63)&amp;" - "&amp;INDEX('4-Gün-Saat-Derslik Atama'!$C$7:$C$456,_Yardımcı!B63)&amp;CHAR(10)&amp;INDEX('4-Gün-Saat-Derslik Atama'!$G$7:$G$456,_Yardımcı!B63)&amp;CHAR(10)&amp;INDEX('4-Gün-Saat-Derslik Atama'!$L$7:$L$456,_Yardımcı!B63)))</f>
        <v/>
      </c>
      <c r="C16" s="45" t="str">
        <f aca="false">IF(_Yardımcı!C52=0,"",IF(_Yardımcı!C52&gt;1,"⚠ ÇAKIŞMA - kontrol edin",INDEX('4-Gün-Saat-Derslik Atama'!$B$7:$B$456,_Yardımcı!C63)&amp;" - "&amp;INDEX('4-Gün-Saat-Derslik Atama'!$C$7:$C$456,_Yardımcı!C63)&amp;CHAR(10)&amp;INDEX('4-Gün-Saat-Derslik Atama'!$G$7:$G$456,_Yardımcı!C63)&amp;CHAR(10)&amp;INDEX('4-Gün-Saat-Derslik Atama'!$L$7:$L$456,_Yardımcı!C63)))</f>
        <v/>
      </c>
      <c r="D16" s="45" t="str">
        <f aca="false">IF(_Yardımcı!D52=0,"",IF(_Yardımcı!D52&gt;1,"⚠ ÇAKIŞMA - kontrol edin",INDEX('4-Gün-Saat-Derslik Atama'!$B$7:$B$456,_Yardımcı!D63)&amp;" - "&amp;INDEX('4-Gün-Saat-Derslik Atama'!$C$7:$C$456,_Yardımcı!D63)&amp;CHAR(10)&amp;INDEX('4-Gün-Saat-Derslik Atama'!$G$7:$G$456,_Yardımcı!D63)&amp;CHAR(10)&amp;INDEX('4-Gün-Saat-Derslik Atama'!$L$7:$L$456,_Yardımcı!D63)))</f>
        <v/>
      </c>
      <c r="E16" s="45" t="str">
        <f aca="false">IF(_Yardımcı!E52=0,"",IF(_Yardımcı!E52&gt;1,"⚠ ÇAKIŞMA - kontrol edin",INDEX('4-Gün-Saat-Derslik Atama'!$B$7:$B$456,_Yardımcı!E63)&amp;" - "&amp;INDEX('4-Gün-Saat-Derslik Atama'!$C$7:$C$456,_Yardımcı!E63)&amp;CHAR(10)&amp;INDEX('4-Gün-Saat-Derslik Atama'!$G$7:$G$456,_Yardımcı!E63)&amp;CHAR(10)&amp;INDEX('4-Gün-Saat-Derslik Atama'!$L$7:$L$456,_Yardımcı!E63)))</f>
        <v/>
      </c>
      <c r="F16" s="45" t="str">
        <f aca="false">IF(_Yardımcı!F52=0,"",IF(_Yardımcı!F52&gt;1,"⚠ ÇAKIŞMA - kontrol edin",INDEX('4-Gün-Saat-Derslik Atama'!$B$7:$B$456,_Yardımcı!F63)&amp;" - "&amp;INDEX('4-Gün-Saat-Derslik Atama'!$C$7:$C$456,_Yardımcı!F63)&amp;CHAR(10)&amp;INDEX('4-Gün-Saat-Derslik Atama'!$G$7:$G$456,_Yardımcı!F63)&amp;CHAR(10)&amp;INDEX('4-Gün-Saat-Derslik Atama'!$L$7:$L$456,_Yardımcı!F63)))</f>
        <v/>
      </c>
    </row>
    <row r="17" customFormat="false" ht="45.75" hidden="false" customHeight="true" outlineLevel="0" collapsed="false">
      <c r="A17" s="44" t="s">
        <v>331</v>
      </c>
      <c r="B17" s="45" t="str">
        <f aca="false">IF(_Yardımcı!B53=0,"",IF(_Yardımcı!B53&gt;1,"⚠ ÇAKIŞMA - kontrol edin",INDEX('4-Gün-Saat-Derslik Atama'!$B$7:$B$456,_Yardımcı!B64)&amp;" - "&amp;INDEX('4-Gün-Saat-Derslik Atama'!$C$7:$C$456,_Yardımcı!B64)&amp;CHAR(10)&amp;INDEX('4-Gün-Saat-Derslik Atama'!$G$7:$G$456,_Yardımcı!B64)&amp;CHAR(10)&amp;INDEX('4-Gün-Saat-Derslik Atama'!$L$7:$L$456,_Yardımcı!B64)))</f>
        <v/>
      </c>
      <c r="C17" s="45" t="str">
        <f aca="false">IF(_Yardımcı!C53=0,"",IF(_Yardımcı!C53&gt;1,"⚠ ÇAKIŞMA - kontrol edin",INDEX('4-Gün-Saat-Derslik Atama'!$B$7:$B$456,_Yardımcı!C64)&amp;" - "&amp;INDEX('4-Gün-Saat-Derslik Atama'!$C$7:$C$456,_Yardımcı!C64)&amp;CHAR(10)&amp;INDEX('4-Gün-Saat-Derslik Atama'!$G$7:$G$456,_Yardımcı!C64)&amp;CHAR(10)&amp;INDEX('4-Gün-Saat-Derslik Atama'!$L$7:$L$456,_Yardımcı!C64)))</f>
        <v/>
      </c>
      <c r="D17" s="45" t="str">
        <f aca="false">IF(_Yardımcı!D53=0,"",IF(_Yardımcı!D53&gt;1,"⚠ ÇAKIŞMA - kontrol edin",INDEX('4-Gün-Saat-Derslik Atama'!$B$7:$B$456,_Yardımcı!D64)&amp;" - "&amp;INDEX('4-Gün-Saat-Derslik Atama'!$C$7:$C$456,_Yardımcı!D64)&amp;CHAR(10)&amp;INDEX('4-Gün-Saat-Derslik Atama'!$G$7:$G$456,_Yardımcı!D64)&amp;CHAR(10)&amp;INDEX('4-Gün-Saat-Derslik Atama'!$L$7:$L$456,_Yardımcı!D64)))</f>
        <v/>
      </c>
      <c r="E17" s="45" t="str">
        <f aca="false">IF(_Yardımcı!E53=0,"",IF(_Yardımcı!E53&gt;1,"⚠ ÇAKIŞMA - kontrol edin",INDEX('4-Gün-Saat-Derslik Atama'!$B$7:$B$456,_Yardımcı!E64)&amp;" - "&amp;INDEX('4-Gün-Saat-Derslik Atama'!$C$7:$C$456,_Yardımcı!E64)&amp;CHAR(10)&amp;INDEX('4-Gün-Saat-Derslik Atama'!$G$7:$G$456,_Yardımcı!E64)&amp;CHAR(10)&amp;INDEX('4-Gün-Saat-Derslik Atama'!$L$7:$L$456,_Yardımcı!E64)))</f>
        <v/>
      </c>
      <c r="F17" s="45" t="str">
        <f aca="false">IF(_Yardımcı!F53=0,"",IF(_Yardımcı!F53&gt;1,"⚠ ÇAKIŞMA - kontrol edin",INDEX('4-Gün-Saat-Derslik Atama'!$B$7:$B$456,_Yardımcı!F64)&amp;" - "&amp;INDEX('4-Gün-Saat-Derslik Atama'!$C$7:$C$456,_Yardımcı!F64)&amp;CHAR(10)&amp;INDEX('4-Gün-Saat-Derslik Atama'!$G$7:$G$456,_Yardımcı!F64)&amp;CHAR(10)&amp;INDEX('4-Gün-Saat-Derslik Atama'!$L$7:$L$456,_Yardımcı!F64)))</f>
        <v/>
      </c>
    </row>
    <row r="18" customFormat="false" ht="45.75" hidden="false" customHeight="true" outlineLevel="0" collapsed="false">
      <c r="A18" s="44" t="s">
        <v>332</v>
      </c>
      <c r="B18" s="45" t="str">
        <f aca="false">IF(_Yardımcı!B54=0,"",IF(_Yardımcı!B54&gt;1,"⚠ ÇAKIŞMA - kontrol edin",INDEX('4-Gün-Saat-Derslik Atama'!$B$7:$B$456,_Yardımcı!B65)&amp;" - "&amp;INDEX('4-Gün-Saat-Derslik Atama'!$C$7:$C$456,_Yardımcı!B65)&amp;CHAR(10)&amp;INDEX('4-Gün-Saat-Derslik Atama'!$G$7:$G$456,_Yardımcı!B65)&amp;CHAR(10)&amp;INDEX('4-Gün-Saat-Derslik Atama'!$L$7:$L$456,_Yardımcı!B65)))</f>
        <v/>
      </c>
      <c r="C18" s="45" t="str">
        <f aca="false">IF(_Yardımcı!C54=0,"",IF(_Yardımcı!C54&gt;1,"⚠ ÇAKIŞMA - kontrol edin",INDEX('4-Gün-Saat-Derslik Atama'!$B$7:$B$456,_Yardımcı!C65)&amp;" - "&amp;INDEX('4-Gün-Saat-Derslik Atama'!$C$7:$C$456,_Yardımcı!C65)&amp;CHAR(10)&amp;INDEX('4-Gün-Saat-Derslik Atama'!$G$7:$G$456,_Yardımcı!C65)&amp;CHAR(10)&amp;INDEX('4-Gün-Saat-Derslik Atama'!$L$7:$L$456,_Yardımcı!C65)))</f>
        <v/>
      </c>
      <c r="D18" s="45" t="str">
        <f aca="false">IF(_Yardımcı!D54=0,"",IF(_Yardımcı!D54&gt;1,"⚠ ÇAKIŞMA - kontrol edin",INDEX('4-Gün-Saat-Derslik Atama'!$B$7:$B$456,_Yardımcı!D65)&amp;" - "&amp;INDEX('4-Gün-Saat-Derslik Atama'!$C$7:$C$456,_Yardımcı!D65)&amp;CHAR(10)&amp;INDEX('4-Gün-Saat-Derslik Atama'!$G$7:$G$456,_Yardımcı!D65)&amp;CHAR(10)&amp;INDEX('4-Gün-Saat-Derslik Atama'!$L$7:$L$456,_Yardımcı!D65)))</f>
        <v/>
      </c>
      <c r="E18" s="45" t="str">
        <f aca="false">IF(_Yardımcı!E54=0,"",IF(_Yardımcı!E54&gt;1,"⚠ ÇAKIŞMA - kontrol edin",INDEX('4-Gün-Saat-Derslik Atama'!$B$7:$B$456,_Yardımcı!E65)&amp;" - "&amp;INDEX('4-Gün-Saat-Derslik Atama'!$C$7:$C$456,_Yardımcı!E65)&amp;CHAR(10)&amp;INDEX('4-Gün-Saat-Derslik Atama'!$G$7:$G$456,_Yardımcı!E65)&amp;CHAR(10)&amp;INDEX('4-Gün-Saat-Derslik Atama'!$L$7:$L$456,_Yardımcı!E65)))</f>
        <v/>
      </c>
      <c r="F18" s="45" t="str">
        <f aca="false">IF(_Yardımcı!F54=0,"",IF(_Yardımcı!F54&gt;1,"⚠ ÇAKIŞMA - kontrol edin",INDEX('4-Gün-Saat-Derslik Atama'!$B$7:$B$456,_Yardımcı!F65)&amp;" - "&amp;INDEX('4-Gün-Saat-Derslik Atama'!$C$7:$C$456,_Yardımcı!F65)&amp;CHAR(10)&amp;INDEX('4-Gün-Saat-Derslik Atama'!$G$7:$G$456,_Yardımcı!F65)&amp;CHAR(10)&amp;INDEX('4-Gün-Saat-Derslik Atama'!$L$7:$L$456,_Yardımcı!F65)))</f>
        <v/>
      </c>
    </row>
    <row r="19" customFormat="false" ht="45.75" hidden="false" customHeight="true" outlineLevel="0" collapsed="false">
      <c r="A19" s="44" t="s">
        <v>333</v>
      </c>
      <c r="B19" s="45" t="str">
        <f aca="false">IF(_Yardımcı!B55=0,"",IF(_Yardımcı!B55&gt;1,"⚠ ÇAKIŞMA - kontrol edin",INDEX('4-Gün-Saat-Derslik Atama'!$B$7:$B$456,_Yardımcı!B66)&amp;" - "&amp;INDEX('4-Gün-Saat-Derslik Atama'!$C$7:$C$456,_Yardımcı!B66)&amp;CHAR(10)&amp;INDEX('4-Gün-Saat-Derslik Atama'!$G$7:$G$456,_Yardımcı!B66)&amp;CHAR(10)&amp;INDEX('4-Gün-Saat-Derslik Atama'!$L$7:$L$456,_Yardımcı!B66)))</f>
        <v/>
      </c>
      <c r="C19" s="45" t="str">
        <f aca="false">IF(_Yardımcı!C55=0,"",IF(_Yardımcı!C55&gt;1,"⚠ ÇAKIŞMA - kontrol edin",INDEX('4-Gün-Saat-Derslik Atama'!$B$7:$B$456,_Yardımcı!C66)&amp;" - "&amp;INDEX('4-Gün-Saat-Derslik Atama'!$C$7:$C$456,_Yardımcı!C66)&amp;CHAR(10)&amp;INDEX('4-Gün-Saat-Derslik Atama'!$G$7:$G$456,_Yardımcı!C66)&amp;CHAR(10)&amp;INDEX('4-Gün-Saat-Derslik Atama'!$L$7:$L$456,_Yardımcı!C66)))</f>
        <v/>
      </c>
      <c r="D19" s="45" t="str">
        <f aca="false">IF(_Yardımcı!D55=0,"",IF(_Yardımcı!D55&gt;1,"⚠ ÇAKIŞMA - kontrol edin",INDEX('4-Gün-Saat-Derslik Atama'!$B$7:$B$456,_Yardımcı!D66)&amp;" - "&amp;INDEX('4-Gün-Saat-Derslik Atama'!$C$7:$C$456,_Yardımcı!D66)&amp;CHAR(10)&amp;INDEX('4-Gün-Saat-Derslik Atama'!$G$7:$G$456,_Yardımcı!D66)&amp;CHAR(10)&amp;INDEX('4-Gün-Saat-Derslik Atama'!$L$7:$L$456,_Yardımcı!D66)))</f>
        <v/>
      </c>
      <c r="E19" s="45" t="str">
        <f aca="false">IF(_Yardımcı!E55=0,"",IF(_Yardımcı!E55&gt;1,"⚠ ÇAKIŞMA - kontrol edin",INDEX('4-Gün-Saat-Derslik Atama'!$B$7:$B$456,_Yardımcı!E66)&amp;" - "&amp;INDEX('4-Gün-Saat-Derslik Atama'!$C$7:$C$456,_Yardımcı!E66)&amp;CHAR(10)&amp;INDEX('4-Gün-Saat-Derslik Atama'!$G$7:$G$456,_Yardımcı!E66)&amp;CHAR(10)&amp;INDEX('4-Gün-Saat-Derslik Atama'!$L$7:$L$456,_Yardımcı!E66)))</f>
        <v/>
      </c>
      <c r="F19" s="45" t="str">
        <f aca="false">IF(_Yardımcı!F55=0,"",IF(_Yardımcı!F55&gt;1,"⚠ ÇAKIŞMA - kontrol edin",INDEX('4-Gün-Saat-Derslik Atama'!$B$7:$B$456,_Yardımcı!F66)&amp;" - "&amp;INDEX('4-Gün-Saat-Derslik Atama'!$C$7:$C$456,_Yardımcı!F66)&amp;CHAR(10)&amp;INDEX('4-Gün-Saat-Derslik Atama'!$G$7:$G$456,_Yardımcı!F66)&amp;CHAR(10)&amp;INDEX('4-Gün-Saat-Derslik Atama'!$L$7:$L$456,_Yardımcı!F66)))</f>
        <v/>
      </c>
    </row>
    <row r="21" customFormat="false" ht="18" hidden="false" customHeight="true" outlineLevel="0" collapsed="false">
      <c r="A21" s="46" t="s">
        <v>354</v>
      </c>
      <c r="B21" s="46"/>
      <c r="C21" s="46"/>
      <c r="E21" s="47" t="s">
        <v>355</v>
      </c>
      <c r="F21" s="47"/>
    </row>
  </sheetData>
  <mergeCells count="9">
    <mergeCell ref="A1:F1"/>
    <mergeCell ref="A2:F2"/>
    <mergeCell ref="A3:F3"/>
    <mergeCell ref="A4:F4"/>
    <mergeCell ref="A5:F5"/>
    <mergeCell ref="A6:F6"/>
    <mergeCell ref="A7:F7"/>
    <mergeCell ref="A21:C21"/>
    <mergeCell ref="E21:F21"/>
  </mergeCells>
  <conditionalFormatting sqref="B10:F19">
    <cfRule type="expression" priority="2" aboveAverage="0" equalAverage="0" bottom="0" percent="0" rank="0" text="" dxfId="6">
      <formula>LEFT(B10,1)="⚠"</formula>
    </cfRule>
  </conditionalFormatting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324F"/>
    <pageSetUpPr fitToPage="tru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6" min="2" style="0" width="30"/>
  </cols>
  <sheetData>
    <row r="1" customFormat="false" ht="24" hidden="false" customHeight="true" outlineLevel="0" collapsed="false">
      <c r="A1" s="30" t="s">
        <v>341</v>
      </c>
      <c r="B1" s="30"/>
      <c r="C1" s="30"/>
      <c r="D1" s="30"/>
      <c r="E1" s="30"/>
      <c r="F1" s="30"/>
    </row>
    <row r="2" customFormat="false" ht="24" hidden="false" customHeight="true" outlineLevel="0" collapsed="false">
      <c r="A2" s="40" t="s">
        <v>342</v>
      </c>
      <c r="B2" s="40"/>
      <c r="C2" s="40"/>
      <c r="D2" s="40"/>
      <c r="E2" s="40"/>
      <c r="F2" s="40"/>
    </row>
    <row r="3" customFormat="false" ht="24" hidden="false" customHeight="true" outlineLevel="0" collapsed="false">
      <c r="A3" s="30" t="s">
        <v>343</v>
      </c>
      <c r="B3" s="30"/>
      <c r="C3" s="30"/>
      <c r="D3" s="30"/>
      <c r="E3" s="30"/>
      <c r="F3" s="30"/>
    </row>
    <row r="4" customFormat="false" ht="24" hidden="false" customHeight="true" outlineLevel="0" collapsed="false">
      <c r="A4" s="41" t="s">
        <v>344</v>
      </c>
      <c r="B4" s="41"/>
      <c r="C4" s="41"/>
      <c r="D4" s="41"/>
      <c r="E4" s="41"/>
      <c r="F4" s="41"/>
    </row>
    <row r="5" customFormat="false" ht="24" hidden="false" customHeight="true" outlineLevel="0" collapsed="false">
      <c r="A5" s="41" t="s">
        <v>345</v>
      </c>
      <c r="B5" s="41"/>
      <c r="C5" s="41"/>
      <c r="D5" s="41"/>
      <c r="E5" s="41"/>
      <c r="F5" s="41"/>
    </row>
    <row r="6" customFormat="false" ht="27.75" hidden="false" customHeight="true" outlineLevel="0" collapsed="false">
      <c r="A6" s="23" t="s">
        <v>346</v>
      </c>
      <c r="B6" s="23"/>
      <c r="C6" s="23"/>
      <c r="D6" s="23"/>
      <c r="E6" s="23"/>
      <c r="F6" s="23"/>
    </row>
    <row r="7" customFormat="false" ht="24" hidden="false" customHeight="true" outlineLevel="0" collapsed="false">
      <c r="A7" s="42" t="s">
        <v>358</v>
      </c>
      <c r="B7" s="42"/>
      <c r="C7" s="42"/>
      <c r="D7" s="42"/>
      <c r="E7" s="42"/>
      <c r="F7" s="42"/>
    </row>
    <row r="9" customFormat="false" ht="19.5" hidden="false" customHeight="true" outlineLevel="0" collapsed="false">
      <c r="A9" s="16" t="s">
        <v>348</v>
      </c>
      <c r="B9" s="43" t="s">
        <v>349</v>
      </c>
      <c r="C9" s="43" t="s">
        <v>350</v>
      </c>
      <c r="D9" s="43" t="s">
        <v>351</v>
      </c>
      <c r="E9" s="43" t="s">
        <v>352</v>
      </c>
      <c r="F9" s="43" t="s">
        <v>353</v>
      </c>
    </row>
    <row r="10" customFormat="false" ht="45.75" hidden="false" customHeight="true" outlineLevel="0" collapsed="false">
      <c r="A10" s="44" t="s">
        <v>324</v>
      </c>
      <c r="B10" s="45" t="str">
        <f aca="false">IF(_Yardımcı!B68=0,"",IF(_Yardımcı!B68&gt;1,"⚠ ÇAKIŞMA - kontrol edin",INDEX('4-Gün-Saat-Derslik Atama'!$B$7:$B$456,_Yardımcı!B79)&amp;" - "&amp;INDEX('4-Gün-Saat-Derslik Atama'!$C$7:$C$456,_Yardımcı!B79)&amp;CHAR(10)&amp;INDEX('4-Gün-Saat-Derslik Atama'!$G$7:$G$456,_Yardımcı!B79)&amp;CHAR(10)&amp;INDEX('4-Gün-Saat-Derslik Atama'!$L$7:$L$456,_Yardımcı!B79)))</f>
        <v/>
      </c>
      <c r="C10" s="45" t="str">
        <f aca="false">IF(_Yardımcı!C68=0,"",IF(_Yardımcı!C68&gt;1,"⚠ ÇAKIŞMA - kontrol edin",INDEX('4-Gün-Saat-Derslik Atama'!$B$7:$B$456,_Yardımcı!C79)&amp;" - "&amp;INDEX('4-Gün-Saat-Derslik Atama'!$C$7:$C$456,_Yardımcı!C79)&amp;CHAR(10)&amp;INDEX('4-Gün-Saat-Derslik Atama'!$G$7:$G$456,_Yardımcı!C79)&amp;CHAR(10)&amp;INDEX('4-Gün-Saat-Derslik Atama'!$L$7:$L$456,_Yardımcı!C79)))</f>
        <v/>
      </c>
      <c r="D10" s="45" t="str">
        <f aca="false">IF(_Yardımcı!D68=0,"",IF(_Yardımcı!D68&gt;1,"⚠ ÇAKIŞMA - kontrol edin",INDEX('4-Gün-Saat-Derslik Atama'!$B$7:$B$456,_Yardımcı!D79)&amp;" - "&amp;INDEX('4-Gün-Saat-Derslik Atama'!$C$7:$C$456,_Yardımcı!D79)&amp;CHAR(10)&amp;INDEX('4-Gün-Saat-Derslik Atama'!$G$7:$G$456,_Yardımcı!D79)&amp;CHAR(10)&amp;INDEX('4-Gün-Saat-Derslik Atama'!$L$7:$L$456,_Yardımcı!D79)))</f>
        <v/>
      </c>
      <c r="E10" s="45" t="str">
        <f aca="false">IF(_Yardımcı!E68=0,"",IF(_Yardımcı!E68&gt;1,"⚠ ÇAKIŞMA - kontrol edin",INDEX('4-Gün-Saat-Derslik Atama'!$B$7:$B$456,_Yardımcı!E79)&amp;" - "&amp;INDEX('4-Gün-Saat-Derslik Atama'!$C$7:$C$456,_Yardımcı!E79)&amp;CHAR(10)&amp;INDEX('4-Gün-Saat-Derslik Atama'!$G$7:$G$456,_Yardımcı!E79)&amp;CHAR(10)&amp;INDEX('4-Gün-Saat-Derslik Atama'!$L$7:$L$456,_Yardımcı!E79)))</f>
        <v/>
      </c>
      <c r="F10" s="45" t="str">
        <f aca="false">IF(_Yardımcı!F68=0,"",IF(_Yardımcı!F68&gt;1,"⚠ ÇAKIŞMA - kontrol edin",INDEX('4-Gün-Saat-Derslik Atama'!$B$7:$B$456,_Yardımcı!F79)&amp;" - "&amp;INDEX('4-Gün-Saat-Derslik Atama'!$C$7:$C$456,_Yardımcı!F79)&amp;CHAR(10)&amp;INDEX('4-Gün-Saat-Derslik Atama'!$G$7:$G$456,_Yardımcı!F79)&amp;CHAR(10)&amp;INDEX('4-Gün-Saat-Derslik Atama'!$L$7:$L$456,_Yardımcı!F79)))</f>
        <v/>
      </c>
    </row>
    <row r="11" customFormat="false" ht="45.75" hidden="false" customHeight="true" outlineLevel="0" collapsed="false">
      <c r="A11" s="44" t="s">
        <v>325</v>
      </c>
      <c r="B11" s="45" t="str">
        <f aca="false">IF(_Yardımcı!B69=0,"",IF(_Yardımcı!B69&gt;1,"⚠ ÇAKIŞMA - kontrol edin",INDEX('4-Gün-Saat-Derslik Atama'!$B$7:$B$456,_Yardımcı!B80)&amp;" - "&amp;INDEX('4-Gün-Saat-Derslik Atama'!$C$7:$C$456,_Yardımcı!B80)&amp;CHAR(10)&amp;INDEX('4-Gün-Saat-Derslik Atama'!$G$7:$G$456,_Yardımcı!B80)&amp;CHAR(10)&amp;INDEX('4-Gün-Saat-Derslik Atama'!$L$7:$L$456,_Yardımcı!B80)))</f>
        <v/>
      </c>
      <c r="C11" s="45" t="str">
        <f aca="false">IF(_Yardımcı!C69=0,"",IF(_Yardımcı!C69&gt;1,"⚠ ÇAKIŞMA - kontrol edin",INDEX('4-Gün-Saat-Derslik Atama'!$B$7:$B$456,_Yardımcı!C80)&amp;" - "&amp;INDEX('4-Gün-Saat-Derslik Atama'!$C$7:$C$456,_Yardımcı!C80)&amp;CHAR(10)&amp;INDEX('4-Gün-Saat-Derslik Atama'!$G$7:$G$456,_Yardımcı!C80)&amp;CHAR(10)&amp;INDEX('4-Gün-Saat-Derslik Atama'!$L$7:$L$456,_Yardımcı!C80)))</f>
        <v/>
      </c>
      <c r="D11" s="45" t="str">
        <f aca="false">IF(_Yardımcı!D69=0,"",IF(_Yardımcı!D69&gt;1,"⚠ ÇAKIŞMA - kontrol edin",INDEX('4-Gün-Saat-Derslik Atama'!$B$7:$B$456,_Yardımcı!D80)&amp;" - "&amp;INDEX('4-Gün-Saat-Derslik Atama'!$C$7:$C$456,_Yardımcı!D80)&amp;CHAR(10)&amp;INDEX('4-Gün-Saat-Derslik Atama'!$G$7:$G$456,_Yardımcı!D80)&amp;CHAR(10)&amp;INDEX('4-Gün-Saat-Derslik Atama'!$L$7:$L$456,_Yardımcı!D80)))</f>
        <v/>
      </c>
      <c r="E11" s="45" t="str">
        <f aca="false">IF(_Yardımcı!E69=0,"",IF(_Yardımcı!E69&gt;1,"⚠ ÇAKIŞMA - kontrol edin",INDEX('4-Gün-Saat-Derslik Atama'!$B$7:$B$456,_Yardımcı!E80)&amp;" - "&amp;INDEX('4-Gün-Saat-Derslik Atama'!$C$7:$C$456,_Yardımcı!E80)&amp;CHAR(10)&amp;INDEX('4-Gün-Saat-Derslik Atama'!$G$7:$G$456,_Yardımcı!E80)&amp;CHAR(10)&amp;INDEX('4-Gün-Saat-Derslik Atama'!$L$7:$L$456,_Yardımcı!E80)))</f>
        <v/>
      </c>
      <c r="F11" s="45" t="str">
        <f aca="false">IF(_Yardımcı!F69=0,"",IF(_Yardımcı!F69&gt;1,"⚠ ÇAKIŞMA - kontrol edin",INDEX('4-Gün-Saat-Derslik Atama'!$B$7:$B$456,_Yardımcı!F80)&amp;" - "&amp;INDEX('4-Gün-Saat-Derslik Atama'!$C$7:$C$456,_Yardımcı!F80)&amp;CHAR(10)&amp;INDEX('4-Gün-Saat-Derslik Atama'!$G$7:$G$456,_Yardımcı!F80)&amp;CHAR(10)&amp;INDEX('4-Gün-Saat-Derslik Atama'!$L$7:$L$456,_Yardımcı!F80)))</f>
        <v/>
      </c>
    </row>
    <row r="12" customFormat="false" ht="45.75" hidden="false" customHeight="true" outlineLevel="0" collapsed="false">
      <c r="A12" s="44" t="s">
        <v>326</v>
      </c>
      <c r="B12" s="45" t="str">
        <f aca="false">IF(_Yardımcı!B70=0,"",IF(_Yardımcı!B70&gt;1,"⚠ ÇAKIŞMA - kontrol edin",INDEX('4-Gün-Saat-Derslik Atama'!$B$7:$B$456,_Yardımcı!B81)&amp;" - "&amp;INDEX('4-Gün-Saat-Derslik Atama'!$C$7:$C$456,_Yardımcı!B81)&amp;CHAR(10)&amp;INDEX('4-Gün-Saat-Derslik Atama'!$G$7:$G$456,_Yardımcı!B81)&amp;CHAR(10)&amp;INDEX('4-Gün-Saat-Derslik Atama'!$L$7:$L$456,_Yardımcı!B81)))</f>
        <v/>
      </c>
      <c r="C12" s="45" t="str">
        <f aca="false">IF(_Yardımcı!C70=0,"",IF(_Yardımcı!C70&gt;1,"⚠ ÇAKIŞMA - kontrol edin",INDEX('4-Gün-Saat-Derslik Atama'!$B$7:$B$456,_Yardımcı!C81)&amp;" - "&amp;INDEX('4-Gün-Saat-Derslik Atama'!$C$7:$C$456,_Yardımcı!C81)&amp;CHAR(10)&amp;INDEX('4-Gün-Saat-Derslik Atama'!$G$7:$G$456,_Yardımcı!C81)&amp;CHAR(10)&amp;INDEX('4-Gün-Saat-Derslik Atama'!$L$7:$L$456,_Yardımcı!C81)))</f>
        <v/>
      </c>
      <c r="D12" s="45" t="str">
        <f aca="false">IF(_Yardımcı!D70=0,"",IF(_Yardımcı!D70&gt;1,"⚠ ÇAKIŞMA - kontrol edin",INDEX('4-Gün-Saat-Derslik Atama'!$B$7:$B$456,_Yardımcı!D81)&amp;" - "&amp;INDEX('4-Gün-Saat-Derslik Atama'!$C$7:$C$456,_Yardımcı!D81)&amp;CHAR(10)&amp;INDEX('4-Gün-Saat-Derslik Atama'!$G$7:$G$456,_Yardımcı!D81)&amp;CHAR(10)&amp;INDEX('4-Gün-Saat-Derslik Atama'!$L$7:$L$456,_Yardımcı!D81)))</f>
        <v/>
      </c>
      <c r="E12" s="45" t="str">
        <f aca="false">IF(_Yardımcı!E70=0,"",IF(_Yardımcı!E70&gt;1,"⚠ ÇAKIŞMA - kontrol edin",INDEX('4-Gün-Saat-Derslik Atama'!$B$7:$B$456,_Yardımcı!E81)&amp;" - "&amp;INDEX('4-Gün-Saat-Derslik Atama'!$C$7:$C$456,_Yardımcı!E81)&amp;CHAR(10)&amp;INDEX('4-Gün-Saat-Derslik Atama'!$G$7:$G$456,_Yardımcı!E81)&amp;CHAR(10)&amp;INDEX('4-Gün-Saat-Derslik Atama'!$L$7:$L$456,_Yardımcı!E81)))</f>
        <v/>
      </c>
      <c r="F12" s="45" t="str">
        <f aca="false">IF(_Yardımcı!F70=0,"",IF(_Yardımcı!F70&gt;1,"⚠ ÇAKIŞMA - kontrol edin",INDEX('4-Gün-Saat-Derslik Atama'!$B$7:$B$456,_Yardımcı!F81)&amp;" - "&amp;INDEX('4-Gün-Saat-Derslik Atama'!$C$7:$C$456,_Yardımcı!F81)&amp;CHAR(10)&amp;INDEX('4-Gün-Saat-Derslik Atama'!$G$7:$G$456,_Yardımcı!F81)&amp;CHAR(10)&amp;INDEX('4-Gün-Saat-Derslik Atama'!$L$7:$L$456,_Yardımcı!F81)))</f>
        <v/>
      </c>
    </row>
    <row r="13" customFormat="false" ht="45.75" hidden="false" customHeight="true" outlineLevel="0" collapsed="false">
      <c r="A13" s="44" t="s">
        <v>327</v>
      </c>
      <c r="B13" s="45" t="str">
        <f aca="false">IF(_Yardımcı!B71=0,"",IF(_Yardımcı!B71&gt;1,"⚠ ÇAKIŞMA - kontrol edin",INDEX('4-Gün-Saat-Derslik Atama'!$B$7:$B$456,_Yardımcı!B82)&amp;" - "&amp;INDEX('4-Gün-Saat-Derslik Atama'!$C$7:$C$456,_Yardımcı!B82)&amp;CHAR(10)&amp;INDEX('4-Gün-Saat-Derslik Atama'!$G$7:$G$456,_Yardımcı!B82)&amp;CHAR(10)&amp;INDEX('4-Gün-Saat-Derslik Atama'!$L$7:$L$456,_Yardımcı!B82)))</f>
        <v/>
      </c>
      <c r="C13" s="45" t="str">
        <f aca="false">IF(_Yardımcı!C71=0,"",IF(_Yardımcı!C71&gt;1,"⚠ ÇAKIŞMA - kontrol edin",INDEX('4-Gün-Saat-Derslik Atama'!$B$7:$B$456,_Yardımcı!C82)&amp;" - "&amp;INDEX('4-Gün-Saat-Derslik Atama'!$C$7:$C$456,_Yardımcı!C82)&amp;CHAR(10)&amp;INDEX('4-Gün-Saat-Derslik Atama'!$G$7:$G$456,_Yardımcı!C82)&amp;CHAR(10)&amp;INDEX('4-Gün-Saat-Derslik Atama'!$L$7:$L$456,_Yardımcı!C82)))</f>
        <v/>
      </c>
      <c r="D13" s="45" t="str">
        <f aca="false">IF(_Yardımcı!D71=0,"",IF(_Yardımcı!D71&gt;1,"⚠ ÇAKIŞMA - kontrol edin",INDEX('4-Gün-Saat-Derslik Atama'!$B$7:$B$456,_Yardımcı!D82)&amp;" - "&amp;INDEX('4-Gün-Saat-Derslik Atama'!$C$7:$C$456,_Yardımcı!D82)&amp;CHAR(10)&amp;INDEX('4-Gün-Saat-Derslik Atama'!$G$7:$G$456,_Yardımcı!D82)&amp;CHAR(10)&amp;INDEX('4-Gün-Saat-Derslik Atama'!$L$7:$L$456,_Yardımcı!D82)))</f>
        <v/>
      </c>
      <c r="E13" s="45" t="str">
        <f aca="false">IF(_Yardımcı!E71=0,"",IF(_Yardımcı!E71&gt;1,"⚠ ÇAKIŞMA - kontrol edin",INDEX('4-Gün-Saat-Derslik Atama'!$B$7:$B$456,_Yardımcı!E82)&amp;" - "&amp;INDEX('4-Gün-Saat-Derslik Atama'!$C$7:$C$456,_Yardımcı!E82)&amp;CHAR(10)&amp;INDEX('4-Gün-Saat-Derslik Atama'!$G$7:$G$456,_Yardımcı!E82)&amp;CHAR(10)&amp;INDEX('4-Gün-Saat-Derslik Atama'!$L$7:$L$456,_Yardımcı!E82)))</f>
        <v/>
      </c>
      <c r="F13" s="45" t="str">
        <f aca="false">IF(_Yardımcı!F71=0,"",IF(_Yardımcı!F71&gt;1,"⚠ ÇAKIŞMA - kontrol edin",INDEX('4-Gün-Saat-Derslik Atama'!$B$7:$B$456,_Yardımcı!F82)&amp;" - "&amp;INDEX('4-Gün-Saat-Derslik Atama'!$C$7:$C$456,_Yardımcı!F82)&amp;CHAR(10)&amp;INDEX('4-Gün-Saat-Derslik Atama'!$G$7:$G$456,_Yardımcı!F82)&amp;CHAR(10)&amp;INDEX('4-Gün-Saat-Derslik Atama'!$L$7:$L$456,_Yardımcı!F82)))</f>
        <v/>
      </c>
    </row>
    <row r="14" customFormat="false" ht="45.75" hidden="false" customHeight="true" outlineLevel="0" collapsed="false">
      <c r="A14" s="44" t="s">
        <v>328</v>
      </c>
      <c r="B14" s="45" t="str">
        <f aca="false">IF(_Yardımcı!B72=0,"",IF(_Yardımcı!B72&gt;1,"⚠ ÇAKIŞMA - kontrol edin",INDEX('4-Gün-Saat-Derslik Atama'!$B$7:$B$456,_Yardımcı!B83)&amp;" - "&amp;INDEX('4-Gün-Saat-Derslik Atama'!$C$7:$C$456,_Yardımcı!B83)&amp;CHAR(10)&amp;INDEX('4-Gün-Saat-Derslik Atama'!$G$7:$G$456,_Yardımcı!B83)&amp;CHAR(10)&amp;INDEX('4-Gün-Saat-Derslik Atama'!$L$7:$L$456,_Yardımcı!B83)))</f>
        <v/>
      </c>
      <c r="C14" s="45" t="str">
        <f aca="false">IF(_Yardımcı!C72=0,"",IF(_Yardımcı!C72&gt;1,"⚠ ÇAKIŞMA - kontrol edin",INDEX('4-Gün-Saat-Derslik Atama'!$B$7:$B$456,_Yardımcı!C83)&amp;" - "&amp;INDEX('4-Gün-Saat-Derslik Atama'!$C$7:$C$456,_Yardımcı!C83)&amp;CHAR(10)&amp;INDEX('4-Gün-Saat-Derslik Atama'!$G$7:$G$456,_Yardımcı!C83)&amp;CHAR(10)&amp;INDEX('4-Gün-Saat-Derslik Atama'!$L$7:$L$456,_Yardımcı!C83)))</f>
        <v/>
      </c>
      <c r="D14" s="45" t="str">
        <f aca="false">IF(_Yardımcı!D72=0,"",IF(_Yardımcı!D72&gt;1,"⚠ ÇAKIŞMA - kontrol edin",INDEX('4-Gün-Saat-Derslik Atama'!$B$7:$B$456,_Yardımcı!D83)&amp;" - "&amp;INDEX('4-Gün-Saat-Derslik Atama'!$C$7:$C$456,_Yardımcı!D83)&amp;CHAR(10)&amp;INDEX('4-Gün-Saat-Derslik Atama'!$G$7:$G$456,_Yardımcı!D83)&amp;CHAR(10)&amp;INDEX('4-Gün-Saat-Derslik Atama'!$L$7:$L$456,_Yardımcı!D83)))</f>
        <v/>
      </c>
      <c r="E14" s="45" t="str">
        <f aca="false">IF(_Yardımcı!E72=0,"",IF(_Yardımcı!E72&gt;1,"⚠ ÇAKIŞMA - kontrol edin",INDEX('4-Gün-Saat-Derslik Atama'!$B$7:$B$456,_Yardımcı!E83)&amp;" - "&amp;INDEX('4-Gün-Saat-Derslik Atama'!$C$7:$C$456,_Yardımcı!E83)&amp;CHAR(10)&amp;INDEX('4-Gün-Saat-Derslik Atama'!$G$7:$G$456,_Yardımcı!E83)&amp;CHAR(10)&amp;INDEX('4-Gün-Saat-Derslik Atama'!$L$7:$L$456,_Yardımcı!E83)))</f>
        <v/>
      </c>
      <c r="F14" s="45" t="str">
        <f aca="false">IF(_Yardımcı!F72=0,"",IF(_Yardımcı!F72&gt;1,"⚠ ÇAKIŞMA - kontrol edin",INDEX('4-Gün-Saat-Derslik Atama'!$B$7:$B$456,_Yardımcı!F83)&amp;" - "&amp;INDEX('4-Gün-Saat-Derslik Atama'!$C$7:$C$456,_Yardımcı!F83)&amp;CHAR(10)&amp;INDEX('4-Gün-Saat-Derslik Atama'!$G$7:$G$456,_Yardımcı!F83)&amp;CHAR(10)&amp;INDEX('4-Gün-Saat-Derslik Atama'!$L$7:$L$456,_Yardımcı!F83)))</f>
        <v/>
      </c>
    </row>
    <row r="15" customFormat="false" ht="45.75" hidden="false" customHeight="true" outlineLevel="0" collapsed="false">
      <c r="A15" s="44" t="s">
        <v>329</v>
      </c>
      <c r="B15" s="45" t="str">
        <f aca="false">IF(_Yardımcı!B73=0,"",IF(_Yardımcı!B73&gt;1,"⚠ ÇAKIŞMA - kontrol edin",INDEX('4-Gün-Saat-Derslik Atama'!$B$7:$B$456,_Yardımcı!B84)&amp;" - "&amp;INDEX('4-Gün-Saat-Derslik Atama'!$C$7:$C$456,_Yardımcı!B84)&amp;CHAR(10)&amp;INDEX('4-Gün-Saat-Derslik Atama'!$G$7:$G$456,_Yardımcı!B84)&amp;CHAR(10)&amp;INDEX('4-Gün-Saat-Derslik Atama'!$L$7:$L$456,_Yardımcı!B84)))</f>
        <v/>
      </c>
      <c r="C15" s="45" t="str">
        <f aca="false">IF(_Yardımcı!C73=0,"",IF(_Yardımcı!C73&gt;1,"⚠ ÇAKIŞMA - kontrol edin",INDEX('4-Gün-Saat-Derslik Atama'!$B$7:$B$456,_Yardımcı!C84)&amp;" - "&amp;INDEX('4-Gün-Saat-Derslik Atama'!$C$7:$C$456,_Yardımcı!C84)&amp;CHAR(10)&amp;INDEX('4-Gün-Saat-Derslik Atama'!$G$7:$G$456,_Yardımcı!C84)&amp;CHAR(10)&amp;INDEX('4-Gün-Saat-Derslik Atama'!$L$7:$L$456,_Yardımcı!C84)))</f>
        <v/>
      </c>
      <c r="D15" s="45" t="str">
        <f aca="false">IF(_Yardımcı!D73=0,"",IF(_Yardımcı!D73&gt;1,"⚠ ÇAKIŞMA - kontrol edin",INDEX('4-Gün-Saat-Derslik Atama'!$B$7:$B$456,_Yardımcı!D84)&amp;" - "&amp;INDEX('4-Gün-Saat-Derslik Atama'!$C$7:$C$456,_Yardımcı!D84)&amp;CHAR(10)&amp;INDEX('4-Gün-Saat-Derslik Atama'!$G$7:$G$456,_Yardımcı!D84)&amp;CHAR(10)&amp;INDEX('4-Gün-Saat-Derslik Atama'!$L$7:$L$456,_Yardımcı!D84)))</f>
        <v/>
      </c>
      <c r="E15" s="45" t="str">
        <f aca="false">IF(_Yardımcı!E73=0,"",IF(_Yardımcı!E73&gt;1,"⚠ ÇAKIŞMA - kontrol edin",INDEX('4-Gün-Saat-Derslik Atama'!$B$7:$B$456,_Yardımcı!E84)&amp;" - "&amp;INDEX('4-Gün-Saat-Derslik Atama'!$C$7:$C$456,_Yardımcı!E84)&amp;CHAR(10)&amp;INDEX('4-Gün-Saat-Derslik Atama'!$G$7:$G$456,_Yardımcı!E84)&amp;CHAR(10)&amp;INDEX('4-Gün-Saat-Derslik Atama'!$L$7:$L$456,_Yardımcı!E84)))</f>
        <v/>
      </c>
      <c r="F15" s="45" t="str">
        <f aca="false">IF(_Yardımcı!F73=0,"",IF(_Yardımcı!F73&gt;1,"⚠ ÇAKIŞMA - kontrol edin",INDEX('4-Gün-Saat-Derslik Atama'!$B$7:$B$456,_Yardımcı!F84)&amp;" - "&amp;INDEX('4-Gün-Saat-Derslik Atama'!$C$7:$C$456,_Yardımcı!F84)&amp;CHAR(10)&amp;INDEX('4-Gün-Saat-Derslik Atama'!$G$7:$G$456,_Yardımcı!F84)&amp;CHAR(10)&amp;INDEX('4-Gün-Saat-Derslik Atama'!$L$7:$L$456,_Yardımcı!F84)))</f>
        <v/>
      </c>
    </row>
    <row r="16" customFormat="false" ht="45.75" hidden="false" customHeight="true" outlineLevel="0" collapsed="false">
      <c r="A16" s="44" t="s">
        <v>330</v>
      </c>
      <c r="B16" s="45" t="str">
        <f aca="false">IF(_Yardımcı!B74=0,"",IF(_Yardımcı!B74&gt;1,"⚠ ÇAKIŞMA - kontrol edin",INDEX('4-Gün-Saat-Derslik Atama'!$B$7:$B$456,_Yardımcı!B85)&amp;" - "&amp;INDEX('4-Gün-Saat-Derslik Atama'!$C$7:$C$456,_Yardımcı!B85)&amp;CHAR(10)&amp;INDEX('4-Gün-Saat-Derslik Atama'!$G$7:$G$456,_Yardımcı!B85)&amp;CHAR(10)&amp;INDEX('4-Gün-Saat-Derslik Atama'!$L$7:$L$456,_Yardımcı!B85)))</f>
        <v/>
      </c>
      <c r="C16" s="45" t="str">
        <f aca="false">IF(_Yardımcı!C74=0,"",IF(_Yardımcı!C74&gt;1,"⚠ ÇAKIŞMA - kontrol edin",INDEX('4-Gün-Saat-Derslik Atama'!$B$7:$B$456,_Yardımcı!C85)&amp;" - "&amp;INDEX('4-Gün-Saat-Derslik Atama'!$C$7:$C$456,_Yardımcı!C85)&amp;CHAR(10)&amp;INDEX('4-Gün-Saat-Derslik Atama'!$G$7:$G$456,_Yardımcı!C85)&amp;CHAR(10)&amp;INDEX('4-Gün-Saat-Derslik Atama'!$L$7:$L$456,_Yardımcı!C85)))</f>
        <v/>
      </c>
      <c r="D16" s="45" t="str">
        <f aca="false">IF(_Yardımcı!D74=0,"",IF(_Yardımcı!D74&gt;1,"⚠ ÇAKIŞMA - kontrol edin",INDEX('4-Gün-Saat-Derslik Atama'!$B$7:$B$456,_Yardımcı!D85)&amp;" - "&amp;INDEX('4-Gün-Saat-Derslik Atama'!$C$7:$C$456,_Yardımcı!D85)&amp;CHAR(10)&amp;INDEX('4-Gün-Saat-Derslik Atama'!$G$7:$G$456,_Yardımcı!D85)&amp;CHAR(10)&amp;INDEX('4-Gün-Saat-Derslik Atama'!$L$7:$L$456,_Yardımcı!D85)))</f>
        <v/>
      </c>
      <c r="E16" s="45" t="str">
        <f aca="false">IF(_Yardımcı!E74=0,"",IF(_Yardımcı!E74&gt;1,"⚠ ÇAKIŞMA - kontrol edin",INDEX('4-Gün-Saat-Derslik Atama'!$B$7:$B$456,_Yardımcı!E85)&amp;" - "&amp;INDEX('4-Gün-Saat-Derslik Atama'!$C$7:$C$456,_Yardımcı!E85)&amp;CHAR(10)&amp;INDEX('4-Gün-Saat-Derslik Atama'!$G$7:$G$456,_Yardımcı!E85)&amp;CHAR(10)&amp;INDEX('4-Gün-Saat-Derslik Atama'!$L$7:$L$456,_Yardımcı!E85)))</f>
        <v/>
      </c>
      <c r="F16" s="45" t="str">
        <f aca="false">IF(_Yardımcı!F74=0,"",IF(_Yardımcı!F74&gt;1,"⚠ ÇAKIŞMA - kontrol edin",INDEX('4-Gün-Saat-Derslik Atama'!$B$7:$B$456,_Yardımcı!F85)&amp;" - "&amp;INDEX('4-Gün-Saat-Derslik Atama'!$C$7:$C$456,_Yardımcı!F85)&amp;CHAR(10)&amp;INDEX('4-Gün-Saat-Derslik Atama'!$G$7:$G$456,_Yardımcı!F85)&amp;CHAR(10)&amp;INDEX('4-Gün-Saat-Derslik Atama'!$L$7:$L$456,_Yardımcı!F85)))</f>
        <v/>
      </c>
    </row>
    <row r="17" customFormat="false" ht="45.75" hidden="false" customHeight="true" outlineLevel="0" collapsed="false">
      <c r="A17" s="44" t="s">
        <v>331</v>
      </c>
      <c r="B17" s="45" t="str">
        <f aca="false">IF(_Yardımcı!B75=0,"",IF(_Yardımcı!B75&gt;1,"⚠ ÇAKIŞMA - kontrol edin",INDEX('4-Gün-Saat-Derslik Atama'!$B$7:$B$456,_Yardımcı!B86)&amp;" - "&amp;INDEX('4-Gün-Saat-Derslik Atama'!$C$7:$C$456,_Yardımcı!B86)&amp;CHAR(10)&amp;INDEX('4-Gün-Saat-Derslik Atama'!$G$7:$G$456,_Yardımcı!B86)&amp;CHAR(10)&amp;INDEX('4-Gün-Saat-Derslik Atama'!$L$7:$L$456,_Yardımcı!B86)))</f>
        <v/>
      </c>
      <c r="C17" s="45" t="str">
        <f aca="false">IF(_Yardımcı!C75=0,"",IF(_Yardımcı!C75&gt;1,"⚠ ÇAKIŞMA - kontrol edin",INDEX('4-Gün-Saat-Derslik Atama'!$B$7:$B$456,_Yardımcı!C86)&amp;" - "&amp;INDEX('4-Gün-Saat-Derslik Atama'!$C$7:$C$456,_Yardımcı!C86)&amp;CHAR(10)&amp;INDEX('4-Gün-Saat-Derslik Atama'!$G$7:$G$456,_Yardımcı!C86)&amp;CHAR(10)&amp;INDEX('4-Gün-Saat-Derslik Atama'!$L$7:$L$456,_Yardımcı!C86)))</f>
        <v/>
      </c>
      <c r="D17" s="45" t="str">
        <f aca="false">IF(_Yardımcı!D75=0,"",IF(_Yardımcı!D75&gt;1,"⚠ ÇAKIŞMA - kontrol edin",INDEX('4-Gün-Saat-Derslik Atama'!$B$7:$B$456,_Yardımcı!D86)&amp;" - "&amp;INDEX('4-Gün-Saat-Derslik Atama'!$C$7:$C$456,_Yardımcı!D86)&amp;CHAR(10)&amp;INDEX('4-Gün-Saat-Derslik Atama'!$G$7:$G$456,_Yardımcı!D86)&amp;CHAR(10)&amp;INDEX('4-Gün-Saat-Derslik Atama'!$L$7:$L$456,_Yardımcı!D86)))</f>
        <v/>
      </c>
      <c r="E17" s="45" t="str">
        <f aca="false">IF(_Yardımcı!E75=0,"",IF(_Yardımcı!E75&gt;1,"⚠ ÇAKIŞMA - kontrol edin",INDEX('4-Gün-Saat-Derslik Atama'!$B$7:$B$456,_Yardımcı!E86)&amp;" - "&amp;INDEX('4-Gün-Saat-Derslik Atama'!$C$7:$C$456,_Yardımcı!E86)&amp;CHAR(10)&amp;INDEX('4-Gün-Saat-Derslik Atama'!$G$7:$G$456,_Yardımcı!E86)&amp;CHAR(10)&amp;INDEX('4-Gün-Saat-Derslik Atama'!$L$7:$L$456,_Yardımcı!E86)))</f>
        <v/>
      </c>
      <c r="F17" s="45" t="str">
        <f aca="false">IF(_Yardımcı!F75=0,"",IF(_Yardımcı!F75&gt;1,"⚠ ÇAKIŞMA - kontrol edin",INDEX('4-Gün-Saat-Derslik Atama'!$B$7:$B$456,_Yardımcı!F86)&amp;" - "&amp;INDEX('4-Gün-Saat-Derslik Atama'!$C$7:$C$456,_Yardımcı!F86)&amp;CHAR(10)&amp;INDEX('4-Gün-Saat-Derslik Atama'!$G$7:$G$456,_Yardımcı!F86)&amp;CHAR(10)&amp;INDEX('4-Gün-Saat-Derslik Atama'!$L$7:$L$456,_Yardımcı!F86)))</f>
        <v/>
      </c>
    </row>
    <row r="18" customFormat="false" ht="45.75" hidden="false" customHeight="true" outlineLevel="0" collapsed="false">
      <c r="A18" s="44" t="s">
        <v>332</v>
      </c>
      <c r="B18" s="45" t="str">
        <f aca="false">IF(_Yardımcı!B76=0,"",IF(_Yardımcı!B76&gt;1,"⚠ ÇAKIŞMA - kontrol edin",INDEX('4-Gün-Saat-Derslik Atama'!$B$7:$B$456,_Yardımcı!B87)&amp;" - "&amp;INDEX('4-Gün-Saat-Derslik Atama'!$C$7:$C$456,_Yardımcı!B87)&amp;CHAR(10)&amp;INDEX('4-Gün-Saat-Derslik Atama'!$G$7:$G$456,_Yardımcı!B87)&amp;CHAR(10)&amp;INDEX('4-Gün-Saat-Derslik Atama'!$L$7:$L$456,_Yardımcı!B87)))</f>
        <v/>
      </c>
      <c r="C18" s="45" t="str">
        <f aca="false">IF(_Yardımcı!C76=0,"",IF(_Yardımcı!C76&gt;1,"⚠ ÇAKIŞMA - kontrol edin",INDEX('4-Gün-Saat-Derslik Atama'!$B$7:$B$456,_Yardımcı!C87)&amp;" - "&amp;INDEX('4-Gün-Saat-Derslik Atama'!$C$7:$C$456,_Yardımcı!C87)&amp;CHAR(10)&amp;INDEX('4-Gün-Saat-Derslik Atama'!$G$7:$G$456,_Yardımcı!C87)&amp;CHAR(10)&amp;INDEX('4-Gün-Saat-Derslik Atama'!$L$7:$L$456,_Yardımcı!C87)))</f>
        <v/>
      </c>
      <c r="D18" s="45" t="str">
        <f aca="false">IF(_Yardımcı!D76=0,"",IF(_Yardımcı!D76&gt;1,"⚠ ÇAKIŞMA - kontrol edin",INDEX('4-Gün-Saat-Derslik Atama'!$B$7:$B$456,_Yardımcı!D87)&amp;" - "&amp;INDEX('4-Gün-Saat-Derslik Atama'!$C$7:$C$456,_Yardımcı!D87)&amp;CHAR(10)&amp;INDEX('4-Gün-Saat-Derslik Atama'!$G$7:$G$456,_Yardımcı!D87)&amp;CHAR(10)&amp;INDEX('4-Gün-Saat-Derslik Atama'!$L$7:$L$456,_Yardımcı!D87)))</f>
        <v/>
      </c>
      <c r="E18" s="45" t="str">
        <f aca="false">IF(_Yardımcı!E76=0,"",IF(_Yardımcı!E76&gt;1,"⚠ ÇAKIŞMA - kontrol edin",INDEX('4-Gün-Saat-Derslik Atama'!$B$7:$B$456,_Yardımcı!E87)&amp;" - "&amp;INDEX('4-Gün-Saat-Derslik Atama'!$C$7:$C$456,_Yardımcı!E87)&amp;CHAR(10)&amp;INDEX('4-Gün-Saat-Derslik Atama'!$G$7:$G$456,_Yardımcı!E87)&amp;CHAR(10)&amp;INDEX('4-Gün-Saat-Derslik Atama'!$L$7:$L$456,_Yardımcı!E87)))</f>
        <v/>
      </c>
      <c r="F18" s="45" t="str">
        <f aca="false">IF(_Yardımcı!F76=0,"",IF(_Yardımcı!F76&gt;1,"⚠ ÇAKIŞMA - kontrol edin",INDEX('4-Gün-Saat-Derslik Atama'!$B$7:$B$456,_Yardımcı!F87)&amp;" - "&amp;INDEX('4-Gün-Saat-Derslik Atama'!$C$7:$C$456,_Yardımcı!F87)&amp;CHAR(10)&amp;INDEX('4-Gün-Saat-Derslik Atama'!$G$7:$G$456,_Yardımcı!F87)&amp;CHAR(10)&amp;INDEX('4-Gün-Saat-Derslik Atama'!$L$7:$L$456,_Yardımcı!F87)))</f>
        <v/>
      </c>
    </row>
    <row r="19" customFormat="false" ht="45.75" hidden="false" customHeight="true" outlineLevel="0" collapsed="false">
      <c r="A19" s="44" t="s">
        <v>333</v>
      </c>
      <c r="B19" s="45" t="str">
        <f aca="false">IF(_Yardımcı!B77=0,"",IF(_Yardımcı!B77&gt;1,"⚠ ÇAKIŞMA - kontrol edin",INDEX('4-Gün-Saat-Derslik Atama'!$B$7:$B$456,_Yardımcı!B88)&amp;" - "&amp;INDEX('4-Gün-Saat-Derslik Atama'!$C$7:$C$456,_Yardımcı!B88)&amp;CHAR(10)&amp;INDEX('4-Gün-Saat-Derslik Atama'!$G$7:$G$456,_Yardımcı!B88)&amp;CHAR(10)&amp;INDEX('4-Gün-Saat-Derslik Atama'!$L$7:$L$456,_Yardımcı!B88)))</f>
        <v/>
      </c>
      <c r="C19" s="45" t="str">
        <f aca="false">IF(_Yardımcı!C77=0,"",IF(_Yardımcı!C77&gt;1,"⚠ ÇAKIŞMA - kontrol edin",INDEX('4-Gün-Saat-Derslik Atama'!$B$7:$B$456,_Yardımcı!C88)&amp;" - "&amp;INDEX('4-Gün-Saat-Derslik Atama'!$C$7:$C$456,_Yardımcı!C88)&amp;CHAR(10)&amp;INDEX('4-Gün-Saat-Derslik Atama'!$G$7:$G$456,_Yardımcı!C88)&amp;CHAR(10)&amp;INDEX('4-Gün-Saat-Derslik Atama'!$L$7:$L$456,_Yardımcı!C88)))</f>
        <v/>
      </c>
      <c r="D19" s="45" t="str">
        <f aca="false">IF(_Yardımcı!D77=0,"",IF(_Yardımcı!D77&gt;1,"⚠ ÇAKIŞMA - kontrol edin",INDEX('4-Gün-Saat-Derslik Atama'!$B$7:$B$456,_Yardımcı!D88)&amp;" - "&amp;INDEX('4-Gün-Saat-Derslik Atama'!$C$7:$C$456,_Yardımcı!D88)&amp;CHAR(10)&amp;INDEX('4-Gün-Saat-Derslik Atama'!$G$7:$G$456,_Yardımcı!D88)&amp;CHAR(10)&amp;INDEX('4-Gün-Saat-Derslik Atama'!$L$7:$L$456,_Yardımcı!D88)))</f>
        <v/>
      </c>
      <c r="E19" s="45" t="str">
        <f aca="false">IF(_Yardımcı!E77=0,"",IF(_Yardımcı!E77&gt;1,"⚠ ÇAKIŞMA - kontrol edin",INDEX('4-Gün-Saat-Derslik Atama'!$B$7:$B$456,_Yardımcı!E88)&amp;" - "&amp;INDEX('4-Gün-Saat-Derslik Atama'!$C$7:$C$456,_Yardımcı!E88)&amp;CHAR(10)&amp;INDEX('4-Gün-Saat-Derslik Atama'!$G$7:$G$456,_Yardımcı!E88)&amp;CHAR(10)&amp;INDEX('4-Gün-Saat-Derslik Atama'!$L$7:$L$456,_Yardımcı!E88)))</f>
        <v/>
      </c>
      <c r="F19" s="45" t="str">
        <f aca="false">IF(_Yardımcı!F77=0,"",IF(_Yardımcı!F77&gt;1,"⚠ ÇAKIŞMA - kontrol edin",INDEX('4-Gün-Saat-Derslik Atama'!$B$7:$B$456,_Yardımcı!F88)&amp;" - "&amp;INDEX('4-Gün-Saat-Derslik Atama'!$C$7:$C$456,_Yardımcı!F88)&amp;CHAR(10)&amp;INDEX('4-Gün-Saat-Derslik Atama'!$G$7:$G$456,_Yardımcı!F88)&amp;CHAR(10)&amp;INDEX('4-Gün-Saat-Derslik Atama'!$L$7:$L$456,_Yardımcı!F88)))</f>
        <v/>
      </c>
    </row>
    <row r="21" customFormat="false" ht="18" hidden="false" customHeight="true" outlineLevel="0" collapsed="false">
      <c r="A21" s="46" t="s">
        <v>354</v>
      </c>
      <c r="B21" s="46"/>
      <c r="C21" s="46"/>
      <c r="E21" s="47" t="s">
        <v>355</v>
      </c>
      <c r="F21" s="47"/>
    </row>
  </sheetData>
  <mergeCells count="9">
    <mergeCell ref="A1:F1"/>
    <mergeCell ref="A2:F2"/>
    <mergeCell ref="A3:F3"/>
    <mergeCell ref="A4:F4"/>
    <mergeCell ref="A5:F5"/>
    <mergeCell ref="A6:F6"/>
    <mergeCell ref="A7:F7"/>
    <mergeCell ref="A21:C21"/>
    <mergeCell ref="E21:F21"/>
  </mergeCells>
  <conditionalFormatting sqref="B10:F19">
    <cfRule type="expression" priority="2" aboveAverage="0" equalAverage="0" bottom="0" percent="0" rank="0" text="" dxfId="6">
      <formula>LEFT(B10,1)="⚠"</formula>
    </cfRule>
  </conditionalFormatting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2026-08-11T21:07:09Z</dcterms:created>
  <dc:creator>openpyxl</dc:creator>
  <dc:description/>
  <dc:language>en-US</dc:language>
  <cp:lastModifiedBy/>
  <dcterms:modified xsi:type="dcterms:W3CDTF">2026-08-11T21:07:11Z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